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405"/>
  </bookViews>
  <sheets>
    <sheet name="Summary" sheetId="2" r:id="rId1"/>
    <sheet name="Calcs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2" l="1"/>
  <c r="G7" i="2"/>
  <c r="G6" i="2"/>
  <c r="G41" i="2"/>
  <c r="F41" i="2"/>
  <c r="G4" i="2"/>
  <c r="H4" i="2" s="1"/>
  <c r="G5" i="2"/>
  <c r="H5" i="2" s="1"/>
  <c r="G3" i="2"/>
  <c r="H3" i="2" s="1"/>
  <c r="E40" i="2"/>
  <c r="E39" i="2"/>
  <c r="E37" i="2"/>
  <c r="E36" i="2"/>
  <c r="E35" i="2"/>
  <c r="E34" i="2"/>
  <c r="E33" i="2"/>
  <c r="E32" i="2"/>
  <c r="E31" i="2"/>
  <c r="E30" i="2"/>
  <c r="E27" i="2"/>
  <c r="E25" i="2"/>
  <c r="E24" i="2"/>
  <c r="E23" i="2"/>
  <c r="E20" i="2"/>
  <c r="E19" i="2"/>
  <c r="E11" i="2"/>
  <c r="E41" i="2" l="1"/>
  <c r="H43" i="2"/>
  <c r="H20" i="1"/>
  <c r="S17" i="1"/>
  <c r="E33" i="1" l="1"/>
  <c r="H33" i="1"/>
  <c r="E27" i="1"/>
  <c r="H27" i="1"/>
  <c r="E26" i="1"/>
  <c r="H26" i="1" s="1"/>
  <c r="S59" i="1"/>
  <c r="M39" i="1" l="1"/>
  <c r="M33" i="1"/>
  <c r="M34" i="1" s="1"/>
  <c r="E28" i="1" l="1"/>
  <c r="H28" i="1"/>
  <c r="E25" i="1"/>
  <c r="H25" i="1" s="1"/>
  <c r="E23" i="1"/>
  <c r="H23" i="1"/>
  <c r="E21" i="1"/>
  <c r="H21" i="1" s="1"/>
  <c r="E19" i="1"/>
  <c r="H19" i="1" s="1"/>
  <c r="E17" i="1"/>
  <c r="H17" i="1" s="1"/>
  <c r="E14" i="1"/>
  <c r="H14" i="1" s="1"/>
  <c r="E12" i="1"/>
  <c r="H12" i="1" s="1"/>
  <c r="E10" i="1"/>
  <c r="H10" i="1" s="1"/>
  <c r="E8" i="1"/>
  <c r="H8" i="1" s="1"/>
  <c r="T49" i="1"/>
  <c r="E22" i="1"/>
  <c r="H22" i="1" s="1"/>
  <c r="C18" i="1"/>
  <c r="E18" i="1" s="1"/>
  <c r="H18" i="1" s="1"/>
  <c r="E4" i="1"/>
  <c r="E5" i="1"/>
  <c r="E7" i="1"/>
  <c r="E9" i="1"/>
  <c r="H9" i="1" s="1"/>
  <c r="E11" i="1"/>
  <c r="H11" i="1" s="1"/>
  <c r="E13" i="1"/>
  <c r="H13" i="1" s="1"/>
  <c r="E15" i="1"/>
  <c r="E20" i="1"/>
  <c r="E24" i="1"/>
  <c r="H24" i="1" s="1"/>
  <c r="E29" i="1"/>
  <c r="H29" i="1" s="1"/>
  <c r="E30" i="1"/>
  <c r="H30" i="1" s="1"/>
  <c r="E31" i="1"/>
  <c r="H31" i="1" s="1"/>
  <c r="E3" i="1"/>
  <c r="V16" i="1"/>
  <c r="J15" i="1" s="1"/>
  <c r="V12" i="1"/>
  <c r="J9" i="1" s="1"/>
  <c r="V13" i="1"/>
  <c r="J11" i="1" s="1"/>
  <c r="V14" i="1"/>
  <c r="J13" i="1" s="1"/>
  <c r="T46" i="1"/>
  <c r="U46" i="1" s="1"/>
  <c r="T44" i="1"/>
  <c r="U44" i="1" s="1"/>
  <c r="T9" i="1"/>
  <c r="V9" i="1" s="1"/>
  <c r="T35" i="1"/>
  <c r="V35" i="1" s="1"/>
  <c r="T34" i="1"/>
  <c r="V34" i="1" s="1"/>
  <c r="T33" i="1"/>
  <c r="U33" i="1" s="1"/>
  <c r="T25" i="1"/>
  <c r="V25" i="1" s="1"/>
  <c r="J17" i="1" s="1"/>
  <c r="V22" i="1"/>
  <c r="V21" i="1"/>
  <c r="J23" i="1" s="1"/>
  <c r="L23" i="1" s="1"/>
  <c r="S7" i="1"/>
  <c r="T7" i="1" s="1"/>
  <c r="V7" i="1" s="1"/>
  <c r="J19" i="1" l="1"/>
  <c r="L14" i="1"/>
  <c r="C16" i="1"/>
  <c r="E16" i="1" s="1"/>
  <c r="H16" i="1" s="1"/>
  <c r="W44" i="1"/>
  <c r="W45" i="1" s="1"/>
  <c r="U35" i="1"/>
  <c r="U34" i="1"/>
  <c r="V33" i="1"/>
  <c r="V36" i="1" s="1"/>
  <c r="T4" i="1"/>
  <c r="J7" i="1" s="1"/>
  <c r="M103" i="1"/>
  <c r="O103" i="1" s="1"/>
  <c r="M102" i="1"/>
  <c r="O102" i="1" s="1"/>
  <c r="M101" i="1"/>
  <c r="O101" i="1" s="1"/>
  <c r="M96" i="1"/>
  <c r="O96" i="1" s="1"/>
  <c r="M95" i="1"/>
  <c r="O95" i="1" s="1"/>
  <c r="M94" i="1"/>
  <c r="O94" i="1" s="1"/>
  <c r="M93" i="1"/>
  <c r="O93" i="1" s="1"/>
  <c r="M91" i="1"/>
  <c r="O91" i="1" s="1"/>
  <c r="M90" i="1"/>
  <c r="O90" i="1" s="1"/>
  <c r="M89" i="1"/>
  <c r="V4" i="1" l="1"/>
  <c r="U36" i="1"/>
  <c r="J21" i="1" s="1"/>
  <c r="O104" i="1"/>
  <c r="M92" i="1"/>
  <c r="O89" i="1"/>
  <c r="O98" i="1" s="1"/>
  <c r="O106" i="1" l="1"/>
  <c r="H3" i="1" l="1"/>
  <c r="H4" i="1"/>
  <c r="H15" i="1"/>
  <c r="H34" i="1" s="1"/>
  <c r="H5" i="1"/>
  <c r="E32" i="1"/>
  <c r="H32" i="1" s="1"/>
  <c r="H7" i="1"/>
  <c r="H35" i="1" l="1"/>
</calcChain>
</file>

<file path=xl/sharedStrings.xml><?xml version="1.0" encoding="utf-8"?>
<sst xmlns="http://schemas.openxmlformats.org/spreadsheetml/2006/main" count="351" uniqueCount="213">
  <si>
    <r>
      <t xml:space="preserve"> </t>
    </r>
    <r>
      <rPr>
        <sz val="12"/>
        <rFont val="Calibri"/>
        <family val="2"/>
        <scheme val="minor"/>
      </rPr>
      <t xml:space="preserve">Item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</si>
  <si>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rFont val="Calibri"/>
        <family val="2"/>
        <scheme val="minor"/>
      </rPr>
      <t xml:space="preserve">Unit Type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</si>
  <si>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rFont val="Calibri"/>
        <family val="2"/>
        <scheme val="minor"/>
      </rPr>
      <t xml:space="preserve">Unit Number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</si>
  <si>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rFont val="Calibri"/>
        <family val="2"/>
        <scheme val="minor"/>
      </rPr>
      <t xml:space="preserve">Unit Cost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</si>
  <si>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rFont val="Calibri"/>
        <family val="2"/>
        <scheme val="minor"/>
      </rPr>
      <t xml:space="preserve">OWEB Funds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</si>
  <si>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rFont val="Calibri"/>
        <family val="2"/>
        <scheme val="minor"/>
      </rPr>
      <t xml:space="preserve">External Cash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</si>
  <si>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rFont val="Calibri"/>
        <family val="2"/>
        <scheme val="minor"/>
      </rPr>
      <t xml:space="preserve">External In-Kind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</si>
  <si>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rFont val="Calibri"/>
        <family val="2"/>
        <scheme val="minor"/>
      </rPr>
      <t xml:space="preserve">Total Costs </t>
    </r>
    <r>
      <rPr>
        <sz val="11"/>
        <rFont val="Calibri"/>
        <family val="2"/>
        <scheme val="minor"/>
      </rPr>
      <t xml:space="preserve"> </t>
    </r>
  </si>
  <si>
    <t xml:space="preserve"> Hours  </t>
  </si>
  <si>
    <t xml:space="preserve"> Mobilization  </t>
  </si>
  <si>
    <t xml:space="preserve"> Each  </t>
  </si>
  <si>
    <t xml:space="preserve"> Cubic yards  </t>
  </si>
  <si>
    <t xml:space="preserve"> Work areas isolation and water management  </t>
  </si>
  <si>
    <t xml:space="preserve"> Site Restoration  </t>
  </si>
  <si>
    <t>Treatment</t>
  </si>
  <si>
    <t>Treatment Explanation</t>
  </si>
  <si>
    <t>Description</t>
  </si>
  <si>
    <t>Unit Cost</t>
  </si>
  <si>
    <t>Units</t>
  </si>
  <si>
    <t>Quantity</t>
  </si>
  <si>
    <t>BR-A</t>
  </si>
  <si>
    <t>Excavate river</t>
  </si>
  <si>
    <t>Cut</t>
  </si>
  <si>
    <t>cubic yards</t>
  </si>
  <si>
    <t>BR-B</t>
  </si>
  <si>
    <t>Construct floodplain</t>
  </si>
  <si>
    <t>Fill/grading</t>
  </si>
  <si>
    <t>BR-C</t>
  </si>
  <si>
    <t>Enhance wetlands</t>
  </si>
  <si>
    <t>Emergent wetland reveg</t>
  </si>
  <si>
    <t>acres</t>
  </si>
  <si>
    <t>BR-D</t>
  </si>
  <si>
    <t>Enhance side channels</t>
  </si>
  <si>
    <t>Structures/grading/reveg</t>
  </si>
  <si>
    <t>feet</t>
  </si>
  <si>
    <t>BR-E</t>
  </si>
  <si>
    <t>Revegetation</t>
  </si>
  <si>
    <t>Planting/microtopography</t>
  </si>
  <si>
    <t>BR-F1</t>
  </si>
  <si>
    <t>Bank structures</t>
  </si>
  <si>
    <t>Bioengineering</t>
  </si>
  <si>
    <t>BR-F2</t>
  </si>
  <si>
    <t>Lower bank restoration</t>
  </si>
  <si>
    <t>BR-F3</t>
  </si>
  <si>
    <t>LWD habitat</t>
  </si>
  <si>
    <t>structures</t>
  </si>
  <si>
    <t>BR-G1</t>
  </si>
  <si>
    <t>In-stream structures</t>
  </si>
  <si>
    <t>Pool formation</t>
  </si>
  <si>
    <t>BR-G2</t>
  </si>
  <si>
    <t>Substrate mat</t>
  </si>
  <si>
    <t>MR-J</t>
  </si>
  <si>
    <t>Tributary restoration</t>
  </si>
  <si>
    <t>Cow Creek</t>
  </si>
  <si>
    <t>KR-C</t>
  </si>
  <si>
    <t>Manage land use</t>
  </si>
  <si>
    <t>Exclosure fencing</t>
  </si>
  <si>
    <t>KR-D1</t>
  </si>
  <si>
    <t>Mitigate infrastruture</t>
  </si>
  <si>
    <t>Culvert replacement</t>
  </si>
  <si>
    <t>KR-D2</t>
  </si>
  <si>
    <t>Bank rehabilitation</t>
  </si>
  <si>
    <t>Estimated Quantities</t>
  </si>
  <si>
    <t>Site 1</t>
  </si>
  <si>
    <t>ELWS A</t>
  </si>
  <si>
    <t>Large wood members</t>
  </si>
  <si>
    <t>6 logs w/6' effective rootwad, 2' min dia.,  25 - 30' stem length</t>
  </si>
  <si>
    <t>Slash</t>
  </si>
  <si>
    <t>15 tops or large branches, 6" stem dia., 10 foot length</t>
  </si>
  <si>
    <t>Boulder ballast</t>
  </si>
  <si>
    <t>2, 5' mean dia. boulders</t>
  </si>
  <si>
    <t>4, 4' mean dia. boulders</t>
  </si>
  <si>
    <t>10, 4' long, 1" dia. rebar pins</t>
  </si>
  <si>
    <t>ELWS B</t>
  </si>
  <si>
    <t>10 logs w/6' effective rootwad, 2' min dia.,  25 - 30' stem length</t>
  </si>
  <si>
    <t>25 tops or large branches, 6" steam dia., 10 foot length</t>
  </si>
  <si>
    <t>6, 5' mean dia. boulders</t>
  </si>
  <si>
    <t>15, 4' long, 1" dia. rebar pins</t>
  </si>
  <si>
    <t>Site 2</t>
  </si>
  <si>
    <t xml:space="preserve">ELWS </t>
  </si>
  <si>
    <t>13 logs w/6' effective rootwad, 2' min dia.,  25 - 30' stem length</t>
  </si>
  <si>
    <t>15 tops or large branches, 6" steam dia., 10 foot length</t>
  </si>
  <si>
    <t>4, 5' mean dia. boulders</t>
  </si>
  <si>
    <t>5, 3.5' mean dia. boulders</t>
  </si>
  <si>
    <t>20, 4' long, 1" dia. rebar pins</t>
  </si>
  <si>
    <t>Site 3</t>
  </si>
  <si>
    <t>7 logs w/6' effective rootwad, 2' min dia.,  25 - 30' stem length</t>
  </si>
  <si>
    <t>Riffle</t>
  </si>
  <si>
    <t>Matrix gradation</t>
  </si>
  <si>
    <t>60 cu.yds.</t>
  </si>
  <si>
    <t>Roughness Elements</t>
  </si>
  <si>
    <t>10, 5' dia. boulders</t>
  </si>
  <si>
    <t>12, 4.5' dia. boulders</t>
  </si>
  <si>
    <t>20, 3.5' dia. boulders</t>
  </si>
  <si>
    <t>Pool</t>
  </si>
  <si>
    <t xml:space="preserve">Excavation </t>
  </si>
  <si>
    <t>250 cu.yds.</t>
  </si>
  <si>
    <t>Side Channel</t>
  </si>
  <si>
    <t>1500 cu.yds.</t>
  </si>
  <si>
    <t>30 tops or large branches, 6" steam dia., 10 foot length</t>
  </si>
  <si>
    <t>MIDCHANNEL ELSW (1)</t>
  </si>
  <si>
    <t>#/Structure</t>
  </si>
  <si>
    <t>Total #</t>
  </si>
  <si>
    <t>Cost/#</t>
  </si>
  <si>
    <t>Cost</t>
  </si>
  <si>
    <t>LARGE WOOD MEMBERS LOGS W/6' EFFECTIVE ROOTWAD, 2' MIN DIA.,  30 - 35' STEM LENGTH</t>
  </si>
  <si>
    <t>LOGS, 1.5' MIN DIA., 25-30' STEM LENGTH</t>
  </si>
  <si>
    <t>LOGS, 1' MIN DIA., 25-30' STEM LENGTH</t>
  </si>
  <si>
    <t>SLASH TOPS OR LARGE BRANCHES, 6" STEM DIA., 10 FOOT LENGTH (Cubic Yards)</t>
  </si>
  <si>
    <t>BOULDER BALLAST 5' MEAN DIA. BOULDERS</t>
  </si>
  <si>
    <t>4' MEAN DIA. BOULDERS</t>
  </si>
  <si>
    <t>4' LONG, 1.27" DIA. (#10) REBAR PINS</t>
  </si>
  <si>
    <t>REVEGETATION</t>
  </si>
  <si>
    <t xml:space="preserve">Total = </t>
  </si>
  <si>
    <t xml:space="preserve">DBRE DISTRIBUTED BOULDER PLACEMENT (3) </t>
  </si>
  <si>
    <t>4.5' MEAN DIA. BOULDERS</t>
  </si>
  <si>
    <t>3.5' MEAN DIA. BOULDERS</t>
  </si>
  <si>
    <t>2.5' MEAN DIA. BOULDERS</t>
  </si>
  <si>
    <t>Total Material Cost For Upper Miller Quarry Reach</t>
  </si>
  <si>
    <t>#</t>
  </si>
  <si>
    <t>LWD ($800/tree 2 ft dbh whole tree with rootwad</t>
  </si>
  <si>
    <t>each</t>
  </si>
  <si>
    <t>Total</t>
  </si>
  <si>
    <t>$/STR</t>
  </si>
  <si>
    <t># Tree /STR</t>
  </si>
  <si>
    <t># STR</t>
  </si>
  <si>
    <t>Load</t>
  </si>
  <si>
    <t>Slash (m assume 10 cuyds / load</t>
  </si>
  <si>
    <t>Loads/STR</t>
  </si>
  <si>
    <t xml:space="preserve"># sites </t>
  </si>
  <si>
    <t># Bldrs</t>
  </si>
  <si>
    <t>Area SQ.ft</t>
  </si>
  <si>
    <t xml:space="preserve">SC Footprint </t>
  </si>
  <si>
    <t>substrate</t>
  </si>
  <si>
    <t>$/bldr</t>
  </si>
  <si>
    <t>$/cuyd</t>
  </si>
  <si>
    <t xml:space="preserve">Total </t>
  </si>
  <si>
    <t>Bankline Brush Treatment</t>
  </si>
  <si>
    <t>Willow Cuttings (1/.8lf)</t>
  </si>
  <si>
    <t>Bankline Brush .8 foot thick 4 ft long)</t>
  </si>
  <si>
    <t>SC1 length</t>
  </si>
  <si>
    <t>SC2 length</t>
  </si>
  <si>
    <t>SC3 length</t>
  </si>
  <si>
    <t>ft</t>
  </si>
  <si>
    <t>$ 3.5'</t>
  </si>
  <si>
    <t>$ 2.5'</t>
  </si>
  <si>
    <t>5$/cutting</t>
  </si>
  <si>
    <t>160/10 cuyds</t>
  </si>
  <si>
    <t>Additional Whole Trees SC</t>
  </si>
  <si>
    <t>Additional Whole Trees Alcove 1</t>
  </si>
  <si>
    <t>Additional Whole Trees Alcove 2</t>
  </si>
  <si>
    <t>Labor (1 str /day $160/hr @ 8 hours)</t>
  </si>
  <si>
    <t>Bank Length</t>
  </si>
  <si>
    <t xml:space="preserve"> Willow Clump Plantings  </t>
  </si>
  <si>
    <t>Side channel network excavation</t>
  </si>
  <si>
    <t>9$/cuyd</t>
  </si>
  <si>
    <t xml:space="preserve"> Clearing and Grubbing  &amp; Site Preparation</t>
  </si>
  <si>
    <t>Feet</t>
  </si>
  <si>
    <t>Each</t>
  </si>
  <si>
    <t>Willow Clumps</t>
  </si>
  <si>
    <t xml:space="preserve"> Additional Willow Cuttings</t>
  </si>
  <si>
    <r>
      <t xml:space="preserve"> </t>
    </r>
    <r>
      <rPr>
        <b/>
        <sz val="12"/>
        <rFont val="Calibri"/>
        <family val="2"/>
        <scheme val="minor"/>
      </rPr>
      <t xml:space="preserve">Contracted Services </t>
    </r>
    <r>
      <rPr>
        <b/>
        <sz val="11"/>
        <rFont val="Calibri"/>
        <family val="2"/>
        <scheme val="minor"/>
      </rPr>
      <t xml:space="preserve"> </t>
    </r>
  </si>
  <si>
    <t xml:space="preserve"> Project Elements</t>
  </si>
  <si>
    <t>Hours</t>
  </si>
  <si>
    <t>Contigency (Total + 10%)</t>
  </si>
  <si>
    <t>Ditch plugs</t>
  </si>
  <si>
    <t xml:space="preserve"> Labor to Construct (8 hours / structure) </t>
  </si>
  <si>
    <t xml:space="preserve"> LWD Alcove 1- Materials</t>
  </si>
  <si>
    <t xml:space="preserve"> LWD Alcove 2- Materials</t>
  </si>
  <si>
    <t xml:space="preserve"> Side Channel Whole Tree Placement- Materials</t>
  </si>
  <si>
    <t xml:space="preserve"> Side Channel Network -  Brush - Bankline Treatment- Materials</t>
  </si>
  <si>
    <t xml:space="preserve"> Side Channel Network -  Large Substrate Placement- Materials</t>
  </si>
  <si>
    <t xml:space="preserve"> Main-Stem Boulder Placements- Materials</t>
  </si>
  <si>
    <t xml:space="preserve"> Miscellaneous Wood (side channels and floodplain)- Materials  </t>
  </si>
  <si>
    <t xml:space="preserve"> Labor to Construct</t>
  </si>
  <si>
    <t xml:space="preserve"> Labor to Construct (total whole trees)</t>
  </si>
  <si>
    <t xml:space="preserve"> Side Channel Network -  Floodplain Excavation</t>
  </si>
  <si>
    <t xml:space="preserve"> Side Channel Network -  Substrate - Bed Material</t>
  </si>
  <si>
    <t xml:space="preserve"> Labor to Construct (hauling, screening and placement)</t>
  </si>
  <si>
    <t>*350 placed for 3</t>
  </si>
  <si>
    <t xml:space="preserve">2 and 2 </t>
  </si>
  <si>
    <t>wetland acreage</t>
  </si>
  <si>
    <t>Acres</t>
  </si>
  <si>
    <t xml:space="preserve"> LWD SC Intake structures (4 structures) - Materials</t>
  </si>
  <si>
    <t xml:space="preserve"> Seeding (20 lbs/ac for 3 ac)  </t>
  </si>
  <si>
    <t>Constructed Wetlands</t>
  </si>
  <si>
    <t>Constructed Wetlands (4 sites - acre)</t>
  </si>
  <si>
    <t>Floodplain Roughness</t>
  </si>
  <si>
    <t>Site Cleanup - Restoration</t>
  </si>
  <si>
    <t>over excavation</t>
  </si>
  <si>
    <t xml:space="preserve"> Item  </t>
  </si>
  <si>
    <t xml:space="preserve"> Unit Type  </t>
  </si>
  <si>
    <t xml:space="preserve"> Unit Number  </t>
  </si>
  <si>
    <t xml:space="preserve"> Unit Cost  </t>
  </si>
  <si>
    <t xml:space="preserve"> OWEB Funds  </t>
  </si>
  <si>
    <t xml:space="preserve"> External In-Kind  </t>
  </si>
  <si>
    <t xml:space="preserve"> Total Costs  </t>
  </si>
  <si>
    <t xml:space="preserve"> Contracted Services  </t>
  </si>
  <si>
    <t xml:space="preserve"> LWD SC Intake structures (4 structures) - Materials (see sheet6)</t>
  </si>
  <si>
    <t xml:space="preserve"> Labor to Construct Alcove 1</t>
  </si>
  <si>
    <t xml:space="preserve"> LWD Alcove 1- Materials (2 LWM structures)</t>
  </si>
  <si>
    <t xml:space="preserve"> LWD Alcove 2- Materials (1 LWM structure)</t>
  </si>
  <si>
    <t xml:space="preserve"> Labor to Construct (See sheet 10)</t>
  </si>
  <si>
    <t>BPA Funds</t>
  </si>
  <si>
    <t>Project Management</t>
  </si>
  <si>
    <t>NPT NEOR/SEWA Project Leader</t>
  </si>
  <si>
    <t>NPT NEOR/SEWA Specialist I</t>
  </si>
  <si>
    <t>NPT Watershed Deputy Director - Contract Management</t>
  </si>
  <si>
    <t>Project Total</t>
  </si>
  <si>
    <t>NPT Staff Project Observation</t>
  </si>
  <si>
    <t>GRMW Staff Project Observation, technical assistance</t>
  </si>
  <si>
    <t>Contigency ( 10% project total minus in kind)</t>
  </si>
  <si>
    <t>Willow Cutting installation (NPT staff)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</si>
</sst>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1">
    <xf numFmtId="0" fontId="0" fillId="0" borderId="0" xfId="0"/>
    <xf numFmtId="2" fontId="0" fillId="0" borderId="0" xfId="0" applyNumberFormat="1"/>
    <xf numFmtId="0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65" fontId="6" fillId="0" borderId="0" xfId="2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left" vertical="center"/>
    </xf>
    <xf numFmtId="166" fontId="6" fillId="0" borderId="0" xfId="0" applyNumberFormat="1" applyFont="1" applyFill="1" applyBorder="1" applyAlignment="1">
      <alignment horizontal="left" vertical="center"/>
    </xf>
    <xf numFmtId="43" fontId="6" fillId="0" borderId="0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0" fillId="0" borderId="0" xfId="0" applyNumberFormat="1"/>
    <xf numFmtId="0" fontId="0" fillId="2" borderId="0" xfId="0" applyFill="1"/>
    <xf numFmtId="164" fontId="5" fillId="0" borderId="0" xfId="0" applyNumberFormat="1" applyFont="1" applyBorder="1"/>
    <xf numFmtId="0" fontId="0" fillId="0" borderId="3" xfId="0" applyBorder="1"/>
    <xf numFmtId="0" fontId="5" fillId="0" borderId="3" xfId="0" applyFont="1" applyBorder="1" applyAlignment="1">
      <alignment horizontal="right"/>
    </xf>
    <xf numFmtId="164" fontId="5" fillId="0" borderId="4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7" fontId="0" fillId="0" borderId="0" xfId="0" applyNumberFormat="1"/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7" fontId="0" fillId="0" borderId="0" xfId="0" applyNumberFormat="1" applyAlignment="1">
      <alignment horizontal="right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67" fontId="3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/>
    <xf numFmtId="1" fontId="3" fillId="0" borderId="1" xfId="0" applyNumberFormat="1" applyFont="1" applyFill="1" applyBorder="1" applyAlignment="1" applyProtection="1">
      <alignment horizontal="center" vertical="center"/>
    </xf>
    <xf numFmtId="38" fontId="3" fillId="0" borderId="1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I26" sqref="I26"/>
    </sheetView>
  </sheetViews>
  <sheetFormatPr defaultRowHeight="15" x14ac:dyDescent="0.25"/>
  <cols>
    <col min="1" max="1" width="66.85546875" customWidth="1"/>
    <col min="2" max="2" width="13.42578125" bestFit="1" customWidth="1"/>
    <col min="3" max="3" width="12.7109375" bestFit="1" customWidth="1"/>
    <col min="4" max="4" width="9.85546875" bestFit="1" customWidth="1"/>
    <col min="5" max="5" width="12.7109375" bestFit="1" customWidth="1"/>
    <col min="6" max="6" width="13.42578125" bestFit="1" customWidth="1"/>
    <col min="7" max="7" width="15.28515625" bestFit="1" customWidth="1"/>
    <col min="8" max="8" width="13.7109375" customWidth="1"/>
    <col min="9" max="9" width="73.5703125" bestFit="1" customWidth="1"/>
  </cols>
  <sheetData>
    <row r="1" spans="1:8" ht="14.45" x14ac:dyDescent="0.3">
      <c r="A1" s="37" t="s">
        <v>190</v>
      </c>
      <c r="B1" s="2" t="s">
        <v>191</v>
      </c>
      <c r="C1" s="2" t="s">
        <v>192</v>
      </c>
      <c r="D1" s="2" t="s">
        <v>193</v>
      </c>
      <c r="E1" s="2" t="s">
        <v>194</v>
      </c>
      <c r="F1" s="2" t="s">
        <v>203</v>
      </c>
      <c r="G1" s="2" t="s">
        <v>195</v>
      </c>
      <c r="H1" s="2" t="s">
        <v>196</v>
      </c>
    </row>
    <row r="2" spans="1:8" x14ac:dyDescent="0.25">
      <c r="A2" s="39" t="s">
        <v>204</v>
      </c>
      <c r="B2" s="2"/>
      <c r="C2" s="2"/>
      <c r="D2" s="2"/>
      <c r="E2" s="2"/>
      <c r="F2" s="2"/>
      <c r="G2" s="2"/>
      <c r="H2" s="2"/>
    </row>
    <row r="3" spans="1:8" ht="15.75" x14ac:dyDescent="0.25">
      <c r="A3" s="38" t="s">
        <v>205</v>
      </c>
      <c r="B3" s="4" t="s">
        <v>163</v>
      </c>
      <c r="C3" s="48">
        <v>80</v>
      </c>
      <c r="D3" s="41">
        <v>45</v>
      </c>
      <c r="E3" s="41"/>
      <c r="F3" s="41"/>
      <c r="G3" s="41">
        <f>C3*D3</f>
        <v>3600</v>
      </c>
      <c r="H3" s="41">
        <f>G3</f>
        <v>3600</v>
      </c>
    </row>
    <row r="4" spans="1:8" ht="15.75" x14ac:dyDescent="0.25">
      <c r="A4" s="38" t="s">
        <v>206</v>
      </c>
      <c r="B4" s="4" t="s">
        <v>163</v>
      </c>
      <c r="C4" s="48">
        <v>80</v>
      </c>
      <c r="D4" s="41">
        <v>35</v>
      </c>
      <c r="E4" s="41"/>
      <c r="F4" s="41"/>
      <c r="G4" s="41">
        <f t="shared" ref="G4:G5" si="0">C4*D4</f>
        <v>2800</v>
      </c>
      <c r="H4" s="41">
        <f t="shared" ref="H4:H5" si="1">G4</f>
        <v>2800</v>
      </c>
    </row>
    <row r="5" spans="1:8" ht="15.75" x14ac:dyDescent="0.25">
      <c r="A5" s="38" t="s">
        <v>207</v>
      </c>
      <c r="B5" s="4" t="s">
        <v>163</v>
      </c>
      <c r="C5" s="48">
        <v>60</v>
      </c>
      <c r="D5" s="41">
        <v>60</v>
      </c>
      <c r="E5" s="4"/>
      <c r="F5" s="4"/>
      <c r="G5" s="41">
        <f t="shared" si="0"/>
        <v>3600</v>
      </c>
      <c r="H5" s="41">
        <f t="shared" si="1"/>
        <v>3600</v>
      </c>
    </row>
    <row r="6" spans="1:8" ht="15.75" x14ac:dyDescent="0.25">
      <c r="A6" s="38" t="s">
        <v>209</v>
      </c>
      <c r="B6" s="4" t="s">
        <v>163</v>
      </c>
      <c r="C6" s="48">
        <v>40</v>
      </c>
      <c r="D6" s="41">
        <v>45</v>
      </c>
      <c r="E6" s="4"/>
      <c r="F6" s="4"/>
      <c r="G6" s="41">
        <f>C6*D6</f>
        <v>1800</v>
      </c>
      <c r="H6" s="41"/>
    </row>
    <row r="7" spans="1:8" ht="15.75" x14ac:dyDescent="0.25">
      <c r="A7" s="38" t="s">
        <v>210</v>
      </c>
      <c r="B7" s="4" t="s">
        <v>163</v>
      </c>
      <c r="C7" s="49">
        <v>40</v>
      </c>
      <c r="D7" s="41">
        <v>45</v>
      </c>
      <c r="E7" s="4"/>
      <c r="F7" s="4"/>
      <c r="G7" s="41">
        <f>C7*D7</f>
        <v>1800</v>
      </c>
      <c r="H7" s="41"/>
    </row>
    <row r="8" spans="1:8" ht="14.45" x14ac:dyDescent="0.3">
      <c r="A8" s="39" t="s">
        <v>197</v>
      </c>
      <c r="B8" s="3"/>
      <c r="C8" s="3"/>
      <c r="D8" s="3"/>
      <c r="E8" s="3"/>
      <c r="F8" s="3"/>
      <c r="G8" s="3"/>
      <c r="H8" s="3"/>
    </row>
    <row r="9" spans="1:8" ht="15.6" x14ac:dyDescent="0.3">
      <c r="A9" s="38" t="s">
        <v>9</v>
      </c>
      <c r="B9" s="4" t="s">
        <v>10</v>
      </c>
      <c r="C9" s="36">
        <v>1</v>
      </c>
      <c r="D9" s="35">
        <v>12000</v>
      </c>
      <c r="E9" s="35">
        <v>12000</v>
      </c>
      <c r="F9" s="36"/>
      <c r="G9" s="36"/>
      <c r="H9" s="35">
        <v>12000</v>
      </c>
    </row>
    <row r="10" spans="1:8" ht="15.6" x14ac:dyDescent="0.3">
      <c r="A10" s="38" t="s">
        <v>156</v>
      </c>
      <c r="B10" s="4" t="s">
        <v>8</v>
      </c>
      <c r="C10" s="36">
        <v>40</v>
      </c>
      <c r="D10" s="35">
        <v>200</v>
      </c>
      <c r="E10" s="35">
        <v>8000</v>
      </c>
      <c r="F10" s="36"/>
      <c r="G10" s="36"/>
      <c r="H10" s="35">
        <v>8000</v>
      </c>
    </row>
    <row r="11" spans="1:8" ht="15.6" x14ac:dyDescent="0.3">
      <c r="A11" s="38" t="s">
        <v>12</v>
      </c>
      <c r="B11" s="4" t="s">
        <v>8</v>
      </c>
      <c r="C11" s="36">
        <v>30</v>
      </c>
      <c r="D11" s="35">
        <v>250</v>
      </c>
      <c r="E11" s="35">
        <f>C11*D11</f>
        <v>7500</v>
      </c>
      <c r="F11" s="36"/>
      <c r="G11" s="36"/>
      <c r="H11" s="35">
        <v>7500</v>
      </c>
    </row>
    <row r="12" spans="1:8" ht="15.6" x14ac:dyDescent="0.3">
      <c r="A12" s="40" t="s">
        <v>162</v>
      </c>
      <c r="B12" s="4"/>
      <c r="C12" s="36"/>
      <c r="D12" s="35"/>
      <c r="E12" s="35"/>
      <c r="F12" s="36"/>
      <c r="G12" s="36"/>
      <c r="H12" s="35"/>
    </row>
    <row r="13" spans="1:8" ht="15.6" x14ac:dyDescent="0.3">
      <c r="A13" s="38" t="s">
        <v>198</v>
      </c>
      <c r="B13" s="4" t="s">
        <v>10</v>
      </c>
      <c r="C13" s="36">
        <v>4</v>
      </c>
      <c r="D13" s="35">
        <v>5120</v>
      </c>
      <c r="E13" s="35"/>
      <c r="F13" s="36">
        <v>20480</v>
      </c>
      <c r="G13" s="36"/>
      <c r="H13" s="35">
        <v>20480</v>
      </c>
    </row>
    <row r="14" spans="1:8" ht="15.6" x14ac:dyDescent="0.3">
      <c r="A14" s="38" t="s">
        <v>166</v>
      </c>
      <c r="B14" s="4" t="s">
        <v>163</v>
      </c>
      <c r="C14" s="36">
        <v>32</v>
      </c>
      <c r="D14" s="35">
        <v>200</v>
      </c>
      <c r="E14" s="35"/>
      <c r="F14" s="36">
        <v>6400</v>
      </c>
      <c r="G14" s="36"/>
      <c r="H14" s="35">
        <v>6400</v>
      </c>
    </row>
    <row r="15" spans="1:8" ht="15.6" x14ac:dyDescent="0.3">
      <c r="A15" s="38" t="s">
        <v>200</v>
      </c>
      <c r="B15" s="4" t="s">
        <v>10</v>
      </c>
      <c r="C15" s="36">
        <v>1</v>
      </c>
      <c r="D15" s="35">
        <v>6400</v>
      </c>
      <c r="E15" s="35"/>
      <c r="F15" s="36">
        <v>6400</v>
      </c>
      <c r="G15" s="36"/>
      <c r="H15" s="35">
        <v>6400</v>
      </c>
    </row>
    <row r="16" spans="1:8" ht="15.6" x14ac:dyDescent="0.3">
      <c r="A16" s="38" t="s">
        <v>199</v>
      </c>
      <c r="B16" s="4" t="s">
        <v>163</v>
      </c>
      <c r="C16" s="36">
        <v>8</v>
      </c>
      <c r="D16" s="35">
        <v>200</v>
      </c>
      <c r="E16" s="35"/>
      <c r="F16" s="36">
        <v>1600</v>
      </c>
      <c r="G16" s="36"/>
      <c r="H16" s="35">
        <v>1600</v>
      </c>
    </row>
    <row r="17" spans="1:8" ht="15.6" x14ac:dyDescent="0.3">
      <c r="A17" s="38" t="s">
        <v>201</v>
      </c>
      <c r="B17" s="4" t="s">
        <v>10</v>
      </c>
      <c r="C17" s="36">
        <v>1</v>
      </c>
      <c r="D17" s="35">
        <v>4000</v>
      </c>
      <c r="E17" s="35"/>
      <c r="F17" s="36">
        <v>4000</v>
      </c>
      <c r="G17" s="36"/>
      <c r="H17" s="35">
        <v>4000</v>
      </c>
    </row>
    <row r="18" spans="1:8" ht="15.6" x14ac:dyDescent="0.3">
      <c r="A18" s="38" t="s">
        <v>174</v>
      </c>
      <c r="B18" s="4" t="s">
        <v>163</v>
      </c>
      <c r="C18" s="36">
        <v>8</v>
      </c>
      <c r="D18" s="35">
        <v>200</v>
      </c>
      <c r="E18" s="35"/>
      <c r="F18" s="36">
        <v>1600</v>
      </c>
      <c r="G18" s="36"/>
      <c r="H18" s="35">
        <v>1600</v>
      </c>
    </row>
    <row r="19" spans="1:8" ht="15.75" x14ac:dyDescent="0.25">
      <c r="A19" s="38" t="s">
        <v>169</v>
      </c>
      <c r="B19" s="4" t="s">
        <v>10</v>
      </c>
      <c r="C19" s="36">
        <v>20</v>
      </c>
      <c r="D19" s="35">
        <v>800</v>
      </c>
      <c r="E19" s="35">
        <f t="shared" ref="E19:E40" si="2">C19*D19</f>
        <v>16000</v>
      </c>
      <c r="F19" s="36"/>
      <c r="G19" s="36"/>
      <c r="H19" s="35">
        <v>16000</v>
      </c>
    </row>
    <row r="20" spans="1:8" ht="15.6" x14ac:dyDescent="0.3">
      <c r="A20" s="38" t="s">
        <v>175</v>
      </c>
      <c r="B20" s="4" t="s">
        <v>163</v>
      </c>
      <c r="C20" s="36">
        <v>40</v>
      </c>
      <c r="D20" s="35">
        <v>200</v>
      </c>
      <c r="E20" s="35">
        <f t="shared" si="2"/>
        <v>8000</v>
      </c>
      <c r="F20" s="36"/>
      <c r="G20" s="36"/>
      <c r="H20" s="35">
        <v>8000</v>
      </c>
    </row>
    <row r="21" spans="1:8" ht="15.6" x14ac:dyDescent="0.3">
      <c r="A21" s="38" t="s">
        <v>176</v>
      </c>
      <c r="B21" s="4" t="s">
        <v>11</v>
      </c>
      <c r="C21" s="36">
        <v>8100</v>
      </c>
      <c r="D21" s="35">
        <v>8</v>
      </c>
      <c r="E21" s="35"/>
      <c r="F21" s="36">
        <v>64800</v>
      </c>
      <c r="G21" s="36"/>
      <c r="H21" s="35">
        <v>64800</v>
      </c>
    </row>
    <row r="22" spans="1:8" ht="15.6" x14ac:dyDescent="0.3">
      <c r="A22" s="38" t="s">
        <v>177</v>
      </c>
      <c r="B22" s="4" t="s">
        <v>11</v>
      </c>
      <c r="C22" s="36">
        <v>3199.600985185185</v>
      </c>
      <c r="D22" s="35">
        <v>8</v>
      </c>
      <c r="E22" s="35"/>
      <c r="F22" s="36">
        <v>25597</v>
      </c>
      <c r="G22" s="36"/>
      <c r="H22" s="35">
        <v>25597</v>
      </c>
    </row>
    <row r="23" spans="1:8" ht="15.6" x14ac:dyDescent="0.3">
      <c r="A23" s="38" t="s">
        <v>178</v>
      </c>
      <c r="B23" s="4" t="s">
        <v>163</v>
      </c>
      <c r="C23" s="36">
        <v>40</v>
      </c>
      <c r="D23" s="35">
        <v>250</v>
      </c>
      <c r="E23" s="35">
        <f t="shared" si="2"/>
        <v>10000</v>
      </c>
      <c r="F23" s="36"/>
      <c r="G23" s="36"/>
      <c r="H23" s="35">
        <v>10000</v>
      </c>
    </row>
    <row r="24" spans="1:8" ht="15.6" x14ac:dyDescent="0.3">
      <c r="A24" s="38" t="s">
        <v>170</v>
      </c>
      <c r="B24" s="4" t="s">
        <v>157</v>
      </c>
      <c r="C24" s="36">
        <v>2587.5403000000001</v>
      </c>
      <c r="D24" s="35">
        <v>15</v>
      </c>
      <c r="E24" s="35">
        <f t="shared" si="2"/>
        <v>38813.104500000001</v>
      </c>
      <c r="F24" s="36"/>
      <c r="G24" s="36"/>
      <c r="H24" s="35">
        <v>38813.104500000001</v>
      </c>
    </row>
    <row r="25" spans="1:8" ht="15.6" x14ac:dyDescent="0.3">
      <c r="A25" s="38" t="s">
        <v>202</v>
      </c>
      <c r="B25" s="4" t="s">
        <v>163</v>
      </c>
      <c r="C25" s="36">
        <v>80</v>
      </c>
      <c r="D25" s="35">
        <v>150</v>
      </c>
      <c r="E25" s="35">
        <f t="shared" si="2"/>
        <v>12000</v>
      </c>
      <c r="F25" s="36"/>
      <c r="G25" s="36"/>
      <c r="H25" s="35">
        <v>12000</v>
      </c>
    </row>
    <row r="26" spans="1:8" ht="15.6" x14ac:dyDescent="0.3">
      <c r="A26" s="38" t="s">
        <v>171</v>
      </c>
      <c r="B26" s="4" t="s">
        <v>158</v>
      </c>
      <c r="C26" s="36">
        <v>1</v>
      </c>
      <c r="D26" s="35">
        <v>50500</v>
      </c>
      <c r="E26" s="35"/>
      <c r="F26" s="36">
        <v>50500</v>
      </c>
      <c r="G26" s="36"/>
      <c r="H26" s="35">
        <v>50500</v>
      </c>
    </row>
    <row r="27" spans="1:8" ht="15.6" x14ac:dyDescent="0.3">
      <c r="A27" s="38" t="s">
        <v>174</v>
      </c>
      <c r="B27" s="4" t="s">
        <v>163</v>
      </c>
      <c r="C27" s="36">
        <v>60</v>
      </c>
      <c r="D27" s="35">
        <v>150</v>
      </c>
      <c r="E27" s="35">
        <f t="shared" si="2"/>
        <v>9000</v>
      </c>
      <c r="F27" s="36"/>
      <c r="G27" s="36"/>
      <c r="H27" s="35">
        <v>9000</v>
      </c>
    </row>
    <row r="28" spans="1:8" ht="15.6" x14ac:dyDescent="0.3">
      <c r="A28" s="38" t="s">
        <v>172</v>
      </c>
      <c r="B28" s="4" t="s">
        <v>158</v>
      </c>
      <c r="C28" s="36">
        <v>5</v>
      </c>
      <c r="D28" s="35">
        <v>4100</v>
      </c>
      <c r="E28" s="35"/>
      <c r="F28" s="36">
        <v>20500</v>
      </c>
      <c r="G28" s="36"/>
      <c r="H28" s="35">
        <v>20500</v>
      </c>
    </row>
    <row r="29" spans="1:8" ht="15.6" x14ac:dyDescent="0.3">
      <c r="A29" s="38" t="s">
        <v>174</v>
      </c>
      <c r="B29" s="4" t="s">
        <v>163</v>
      </c>
      <c r="C29" s="36">
        <v>8</v>
      </c>
      <c r="D29" s="35">
        <v>200</v>
      </c>
      <c r="E29" s="35"/>
      <c r="F29" s="36">
        <v>1600</v>
      </c>
      <c r="G29" s="36"/>
      <c r="H29" s="35">
        <v>1600</v>
      </c>
    </row>
    <row r="30" spans="1:8" ht="15.6" x14ac:dyDescent="0.3">
      <c r="A30" s="38" t="s">
        <v>173</v>
      </c>
      <c r="B30" s="4" t="s">
        <v>10</v>
      </c>
      <c r="C30" s="36">
        <v>1</v>
      </c>
      <c r="D30" s="35">
        <v>9000</v>
      </c>
      <c r="E30" s="35">
        <f t="shared" si="2"/>
        <v>9000</v>
      </c>
      <c r="F30" s="36"/>
      <c r="G30" s="36"/>
      <c r="H30" s="35">
        <v>9000</v>
      </c>
    </row>
    <row r="31" spans="1:8" ht="15.6" x14ac:dyDescent="0.3">
      <c r="A31" s="38" t="s">
        <v>174</v>
      </c>
      <c r="B31" s="4" t="s">
        <v>163</v>
      </c>
      <c r="C31" s="36">
        <v>20</v>
      </c>
      <c r="D31" s="35">
        <v>200</v>
      </c>
      <c r="E31" s="35">
        <f t="shared" si="2"/>
        <v>4000</v>
      </c>
      <c r="F31" s="36"/>
      <c r="G31" s="36"/>
      <c r="H31" s="35">
        <v>4000</v>
      </c>
    </row>
    <row r="32" spans="1:8" ht="15.6" x14ac:dyDescent="0.3">
      <c r="A32" s="38" t="s">
        <v>186</v>
      </c>
      <c r="B32" s="4" t="s">
        <v>163</v>
      </c>
      <c r="C32" s="36">
        <v>30</v>
      </c>
      <c r="D32" s="35">
        <v>200</v>
      </c>
      <c r="E32" s="35">
        <f t="shared" si="2"/>
        <v>6000</v>
      </c>
      <c r="F32" s="36"/>
      <c r="G32" s="36"/>
      <c r="H32" s="35">
        <v>6000</v>
      </c>
    </row>
    <row r="33" spans="1:8" ht="15.6" x14ac:dyDescent="0.3">
      <c r="A33" s="38" t="s">
        <v>187</v>
      </c>
      <c r="B33" s="4" t="s">
        <v>163</v>
      </c>
      <c r="C33" s="36">
        <v>30</v>
      </c>
      <c r="D33" s="35">
        <v>201</v>
      </c>
      <c r="E33" s="35">
        <f t="shared" si="2"/>
        <v>6030</v>
      </c>
      <c r="F33" s="36"/>
      <c r="G33" s="36"/>
      <c r="H33" s="35">
        <v>6030</v>
      </c>
    </row>
    <row r="34" spans="1:8" ht="15.6" x14ac:dyDescent="0.3">
      <c r="A34" s="38" t="s">
        <v>165</v>
      </c>
      <c r="B34" s="4" t="s">
        <v>158</v>
      </c>
      <c r="C34" s="36">
        <v>8</v>
      </c>
      <c r="D34" s="35">
        <v>1200</v>
      </c>
      <c r="E34" s="35">
        <f t="shared" si="2"/>
        <v>9600</v>
      </c>
      <c r="F34" s="36"/>
      <c r="G34" s="36"/>
      <c r="H34" s="35">
        <v>9600</v>
      </c>
    </row>
    <row r="35" spans="1:8" ht="15.6" x14ac:dyDescent="0.3">
      <c r="A35" s="38" t="s">
        <v>13</v>
      </c>
      <c r="B35" s="4" t="s">
        <v>8</v>
      </c>
      <c r="C35" s="36">
        <v>40</v>
      </c>
      <c r="D35" s="35">
        <v>200</v>
      </c>
      <c r="E35" s="35">
        <f t="shared" si="2"/>
        <v>8000</v>
      </c>
      <c r="F35" s="36"/>
      <c r="G35" s="36"/>
      <c r="H35" s="35">
        <v>8000</v>
      </c>
    </row>
    <row r="36" spans="1:8" ht="15.6" x14ac:dyDescent="0.3">
      <c r="A36" s="38" t="s">
        <v>153</v>
      </c>
      <c r="B36" s="4" t="s">
        <v>10</v>
      </c>
      <c r="C36" s="36">
        <v>400</v>
      </c>
      <c r="D36" s="35">
        <v>20</v>
      </c>
      <c r="E36" s="35">
        <f t="shared" si="2"/>
        <v>8000</v>
      </c>
      <c r="F36" s="36"/>
      <c r="G36" s="36"/>
      <c r="H36" s="35">
        <v>8000</v>
      </c>
    </row>
    <row r="37" spans="1:8" ht="15.75" x14ac:dyDescent="0.25">
      <c r="A37" s="38" t="s">
        <v>160</v>
      </c>
      <c r="B37" s="4" t="s">
        <v>10</v>
      </c>
      <c r="C37" s="36">
        <v>2000</v>
      </c>
      <c r="D37" s="35">
        <v>5</v>
      </c>
      <c r="E37" s="35">
        <f t="shared" si="2"/>
        <v>10000</v>
      </c>
      <c r="F37" s="36"/>
      <c r="G37" s="36"/>
      <c r="H37" s="35">
        <v>10000</v>
      </c>
    </row>
    <row r="38" spans="1:8" ht="15.75" x14ac:dyDescent="0.25">
      <c r="A38" s="38" t="s">
        <v>212</v>
      </c>
      <c r="B38" s="4" t="s">
        <v>163</v>
      </c>
      <c r="C38" s="36">
        <v>80</v>
      </c>
      <c r="D38" s="35">
        <v>40</v>
      </c>
      <c r="E38" s="35"/>
      <c r="F38" s="36"/>
      <c r="G38" s="36">
        <v>3200</v>
      </c>
      <c r="H38" s="35"/>
    </row>
    <row r="39" spans="1:8" ht="15.6" x14ac:dyDescent="0.3">
      <c r="A39" s="38" t="s">
        <v>184</v>
      </c>
      <c r="B39" s="4" t="s">
        <v>10</v>
      </c>
      <c r="C39" s="36">
        <v>6</v>
      </c>
      <c r="D39" s="35">
        <v>15</v>
      </c>
      <c r="E39" s="35">
        <f t="shared" si="2"/>
        <v>90</v>
      </c>
      <c r="F39" s="36"/>
      <c r="G39" s="36"/>
      <c r="H39" s="35">
        <v>90</v>
      </c>
    </row>
    <row r="40" spans="1:8" ht="15.6" x14ac:dyDescent="0.3">
      <c r="A40" s="38" t="s">
        <v>188</v>
      </c>
      <c r="B40" s="4" t="s">
        <v>163</v>
      </c>
      <c r="C40" s="36">
        <v>20</v>
      </c>
      <c r="D40" s="35">
        <v>200</v>
      </c>
      <c r="E40" s="35">
        <f t="shared" si="2"/>
        <v>4000</v>
      </c>
      <c r="F40" s="36"/>
      <c r="G40" s="36"/>
      <c r="H40" s="35">
        <v>4000</v>
      </c>
    </row>
    <row r="41" spans="1:8" ht="15.75" x14ac:dyDescent="0.25">
      <c r="A41" s="40" t="s">
        <v>122</v>
      </c>
      <c r="B41" s="44"/>
      <c r="C41" s="45"/>
      <c r="D41" s="46"/>
      <c r="E41" s="46">
        <f>SUM(E9:E40)</f>
        <v>186033.10450000002</v>
      </c>
      <c r="F41" s="46">
        <f>SUM(F9:F40)</f>
        <v>203477</v>
      </c>
      <c r="G41" s="45">
        <f>SUM(G3:G40)</f>
        <v>16800</v>
      </c>
      <c r="H41" s="46">
        <f>SUM(E41:G41)</f>
        <v>406310.10450000002</v>
      </c>
    </row>
    <row r="42" spans="1:8" ht="15.75" x14ac:dyDescent="0.25">
      <c r="A42" s="40" t="s">
        <v>211</v>
      </c>
      <c r="B42" s="44"/>
      <c r="C42" s="45"/>
      <c r="D42" s="46"/>
      <c r="E42" s="46"/>
      <c r="F42" s="45"/>
      <c r="G42" s="45"/>
      <c r="H42" s="46">
        <v>38951</v>
      </c>
    </row>
    <row r="43" spans="1:8" ht="15.75" x14ac:dyDescent="0.25">
      <c r="A43" s="40" t="s">
        <v>208</v>
      </c>
      <c r="B43" s="47"/>
      <c r="C43" s="47"/>
      <c r="D43" s="47"/>
      <c r="E43" s="47"/>
      <c r="F43" s="47"/>
      <c r="G43" s="47"/>
      <c r="H43" s="50">
        <f>SUM(H41+H42)</f>
        <v>445261.10450000002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9"/>
  <sheetViews>
    <sheetView zoomScale="60" zoomScaleNormal="60" workbookViewId="0">
      <selection sqref="A1:H35"/>
    </sheetView>
  </sheetViews>
  <sheetFormatPr defaultRowHeight="15" x14ac:dyDescent="0.25"/>
  <cols>
    <col min="1" max="1" width="69.28515625" customWidth="1"/>
    <col min="2" max="2" width="16.85546875" customWidth="1"/>
    <col min="3" max="3" width="13.7109375" bestFit="1" customWidth="1"/>
    <col min="4" max="4" width="10.140625" bestFit="1" customWidth="1"/>
    <col min="5" max="5" width="13.42578125" bestFit="1" customWidth="1"/>
    <col min="6" max="6" width="14.28515625" bestFit="1" customWidth="1"/>
    <col min="7" max="7" width="16.28515625" bestFit="1" customWidth="1"/>
    <col min="8" max="8" width="12.140625" style="19" bestFit="1" customWidth="1"/>
    <col min="10" max="10" width="12.28515625" style="27" bestFit="1" customWidth="1"/>
    <col min="12" max="12" width="8.85546875" customWidth="1"/>
    <col min="19" max="19" width="13.5703125" customWidth="1"/>
    <col min="20" max="20" width="11.7109375" style="20" customWidth="1"/>
    <col min="21" max="21" width="12.140625" bestFit="1" customWidth="1"/>
    <col min="22" max="22" width="13.42578125" style="20" customWidth="1"/>
    <col min="24" max="24" width="14.85546875" customWidth="1"/>
  </cols>
  <sheetData>
    <row r="1" spans="1:23" ht="15.6" x14ac:dyDescent="0.3">
      <c r="A1" s="3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23" ht="15.6" x14ac:dyDescent="0.3">
      <c r="A2" s="39" t="s">
        <v>161</v>
      </c>
      <c r="B2" s="3"/>
      <c r="C2" s="3"/>
      <c r="D2" s="3"/>
      <c r="E2" s="3"/>
      <c r="F2" s="3"/>
      <c r="G2" s="3"/>
      <c r="H2" s="3"/>
      <c r="R2" t="s">
        <v>120</v>
      </c>
    </row>
    <row r="3" spans="1:23" ht="15.6" x14ac:dyDescent="0.3">
      <c r="A3" s="38" t="s">
        <v>9</v>
      </c>
      <c r="B3" s="4" t="s">
        <v>10</v>
      </c>
      <c r="C3" s="36">
        <v>1</v>
      </c>
      <c r="D3" s="35">
        <v>12000</v>
      </c>
      <c r="E3" s="35">
        <f>C3*D3</f>
        <v>12000</v>
      </c>
      <c r="F3" s="36">
        <v>0</v>
      </c>
      <c r="G3" s="36">
        <v>0</v>
      </c>
      <c r="H3" s="35">
        <f>E3</f>
        <v>12000</v>
      </c>
      <c r="R3" s="19" t="s">
        <v>121</v>
      </c>
      <c r="S3" s="19" t="s">
        <v>124</v>
      </c>
      <c r="T3" s="21" t="s">
        <v>123</v>
      </c>
      <c r="U3" s="19" t="s">
        <v>125</v>
      </c>
      <c r="V3" s="33" t="s">
        <v>122</v>
      </c>
      <c r="W3" s="19"/>
    </row>
    <row r="4" spans="1:23" ht="15.6" x14ac:dyDescent="0.3">
      <c r="A4" s="38" t="s">
        <v>156</v>
      </c>
      <c r="B4" s="4" t="s">
        <v>8</v>
      </c>
      <c r="C4" s="36">
        <v>40</v>
      </c>
      <c r="D4" s="35">
        <v>200</v>
      </c>
      <c r="E4" s="35">
        <f t="shared" ref="E4:E31" si="0">C4*D4</f>
        <v>8000</v>
      </c>
      <c r="F4" s="36">
        <v>0</v>
      </c>
      <c r="G4" s="36">
        <v>0</v>
      </c>
      <c r="H4" s="35">
        <f>E4</f>
        <v>8000</v>
      </c>
      <c r="R4" s="21">
        <v>800</v>
      </c>
      <c r="S4" s="19">
        <v>6</v>
      </c>
      <c r="T4" s="21">
        <f>R4*S4</f>
        <v>4800</v>
      </c>
      <c r="U4" s="19">
        <v>4</v>
      </c>
      <c r="V4" s="33">
        <f>T4*U4</f>
        <v>19200</v>
      </c>
      <c r="W4" s="19"/>
    </row>
    <row r="5" spans="1:23" ht="15.6" x14ac:dyDescent="0.3">
      <c r="A5" s="38" t="s">
        <v>12</v>
      </c>
      <c r="B5" s="4" t="s">
        <v>8</v>
      </c>
      <c r="C5" s="36">
        <v>30</v>
      </c>
      <c r="D5" s="35">
        <v>250</v>
      </c>
      <c r="E5" s="35">
        <f t="shared" si="0"/>
        <v>7500</v>
      </c>
      <c r="F5" s="36">
        <v>0</v>
      </c>
      <c r="G5" s="36">
        <v>0</v>
      </c>
      <c r="H5" s="35">
        <f>E5</f>
        <v>7500</v>
      </c>
      <c r="R5" s="22" t="s">
        <v>127</v>
      </c>
      <c r="S5" s="19"/>
      <c r="T5" s="21"/>
      <c r="U5" s="19"/>
      <c r="V5" s="33"/>
      <c r="W5" s="19"/>
    </row>
    <row r="6" spans="1:23" ht="15.6" x14ac:dyDescent="0.3">
      <c r="A6" s="40" t="s">
        <v>162</v>
      </c>
      <c r="B6" s="4"/>
      <c r="C6" s="36"/>
      <c r="D6" s="35"/>
      <c r="E6" s="35"/>
      <c r="F6" s="36"/>
      <c r="G6" s="36"/>
      <c r="H6" s="35"/>
      <c r="R6" s="19" t="s">
        <v>126</v>
      </c>
      <c r="S6" s="19" t="s">
        <v>128</v>
      </c>
      <c r="T6" s="21" t="s">
        <v>123</v>
      </c>
      <c r="U6" s="19" t="s">
        <v>125</v>
      </c>
      <c r="V6" s="33" t="s">
        <v>122</v>
      </c>
      <c r="W6" s="19"/>
    </row>
    <row r="7" spans="1:23" ht="15.6" x14ac:dyDescent="0.3">
      <c r="A7" s="38" t="s">
        <v>183</v>
      </c>
      <c r="B7" s="4" t="s">
        <v>10</v>
      </c>
      <c r="C7" s="36">
        <v>4</v>
      </c>
      <c r="D7" s="35">
        <v>5120</v>
      </c>
      <c r="E7" s="35">
        <f t="shared" si="0"/>
        <v>20480</v>
      </c>
      <c r="F7" s="36">
        <v>0</v>
      </c>
      <c r="G7" s="36">
        <v>0</v>
      </c>
      <c r="H7" s="35">
        <f t="shared" ref="H7:H14" si="1">E7</f>
        <v>20480</v>
      </c>
      <c r="J7" s="27">
        <f>T4+T7</f>
        <v>5120</v>
      </c>
      <c r="R7" s="21">
        <v>160</v>
      </c>
      <c r="S7" s="19">
        <f>2</f>
        <v>2</v>
      </c>
      <c r="T7" s="21">
        <f>R7*S7</f>
        <v>320</v>
      </c>
      <c r="U7" s="19">
        <v>4</v>
      </c>
      <c r="V7" s="33">
        <f>U7*T7</f>
        <v>1280</v>
      </c>
      <c r="W7" s="19"/>
    </row>
    <row r="8" spans="1:23" ht="15.6" x14ac:dyDescent="0.3">
      <c r="A8" s="38" t="s">
        <v>166</v>
      </c>
      <c r="B8" s="4" t="s">
        <v>163</v>
      </c>
      <c r="C8" s="36">
        <v>32</v>
      </c>
      <c r="D8" s="35">
        <v>200</v>
      </c>
      <c r="E8" s="35">
        <f t="shared" si="0"/>
        <v>6400</v>
      </c>
      <c r="F8" s="36"/>
      <c r="G8" s="36"/>
      <c r="H8" s="35">
        <f t="shared" si="1"/>
        <v>6400</v>
      </c>
      <c r="R8" s="21"/>
      <c r="S8" s="24" t="s">
        <v>151</v>
      </c>
      <c r="T8" s="21" t="s">
        <v>123</v>
      </c>
      <c r="U8" s="19" t="s">
        <v>125</v>
      </c>
      <c r="V8" s="33" t="s">
        <v>122</v>
      </c>
      <c r="W8" s="19"/>
    </row>
    <row r="9" spans="1:23" ht="15.6" x14ac:dyDescent="0.3">
      <c r="A9" s="38" t="s">
        <v>167</v>
      </c>
      <c r="B9" s="4" t="s">
        <v>10</v>
      </c>
      <c r="C9" s="36">
        <v>1</v>
      </c>
      <c r="D9" s="35">
        <v>6400</v>
      </c>
      <c r="E9" s="35">
        <f t="shared" si="0"/>
        <v>6400</v>
      </c>
      <c r="F9" s="36">
        <v>0</v>
      </c>
      <c r="G9" s="36">
        <v>0</v>
      </c>
      <c r="H9" s="35">
        <f t="shared" si="1"/>
        <v>6400</v>
      </c>
      <c r="J9" s="27">
        <f>V12</f>
        <v>6400</v>
      </c>
      <c r="R9" s="21"/>
      <c r="S9" s="19"/>
      <c r="T9" s="21">
        <f>8*160</f>
        <v>1280</v>
      </c>
      <c r="U9" s="19">
        <v>4</v>
      </c>
      <c r="V9" s="33">
        <f>T9*U9</f>
        <v>5120</v>
      </c>
      <c r="W9" s="19"/>
    </row>
    <row r="10" spans="1:23" ht="15.6" x14ac:dyDescent="0.3">
      <c r="A10" s="38" t="s">
        <v>174</v>
      </c>
      <c r="B10" s="4" t="s">
        <v>163</v>
      </c>
      <c r="C10" s="36">
        <v>8</v>
      </c>
      <c r="D10" s="35">
        <v>200</v>
      </c>
      <c r="E10" s="35">
        <f t="shared" si="0"/>
        <v>1600</v>
      </c>
      <c r="F10" s="36"/>
      <c r="G10" s="36"/>
      <c r="H10" s="35">
        <f t="shared" si="1"/>
        <v>1600</v>
      </c>
      <c r="R10" s="21"/>
      <c r="S10" s="19"/>
      <c r="T10" s="21"/>
      <c r="U10" s="19"/>
      <c r="V10" s="21"/>
      <c r="W10" s="19"/>
    </row>
    <row r="11" spans="1:23" ht="15.6" x14ac:dyDescent="0.3">
      <c r="A11" s="38" t="s">
        <v>168</v>
      </c>
      <c r="B11" s="4" t="s">
        <v>10</v>
      </c>
      <c r="C11" s="36">
        <v>1</v>
      </c>
      <c r="D11" s="35">
        <v>4000</v>
      </c>
      <c r="E11" s="35">
        <f t="shared" si="0"/>
        <v>4000</v>
      </c>
      <c r="F11" s="36">
        <v>0</v>
      </c>
      <c r="G11" s="36">
        <v>0</v>
      </c>
      <c r="H11" s="35">
        <f t="shared" si="1"/>
        <v>4000</v>
      </c>
      <c r="J11" s="27">
        <f>V13</f>
        <v>4000</v>
      </c>
      <c r="R11" s="21"/>
      <c r="S11" s="19"/>
      <c r="T11" s="21"/>
      <c r="U11" s="19"/>
      <c r="V11" s="33" t="s">
        <v>122</v>
      </c>
      <c r="W11" s="19"/>
    </row>
    <row r="12" spans="1:23" ht="15.6" x14ac:dyDescent="0.3">
      <c r="A12" s="38" t="s">
        <v>174</v>
      </c>
      <c r="B12" s="4" t="s">
        <v>163</v>
      </c>
      <c r="C12" s="36">
        <v>8</v>
      </c>
      <c r="D12" s="35">
        <v>200</v>
      </c>
      <c r="E12" s="35">
        <f t="shared" si="0"/>
        <v>1600</v>
      </c>
      <c r="F12" s="36"/>
      <c r="G12" s="36"/>
      <c r="H12" s="35">
        <f t="shared" si="1"/>
        <v>1600</v>
      </c>
      <c r="R12" s="30" t="s">
        <v>149</v>
      </c>
      <c r="S12" s="19">
        <v>8</v>
      </c>
      <c r="T12" s="21">
        <v>800</v>
      </c>
      <c r="U12" s="19"/>
      <c r="V12" s="33">
        <f>S12*T12</f>
        <v>6400</v>
      </c>
      <c r="W12" s="19"/>
    </row>
    <row r="13" spans="1:23" ht="15.6" x14ac:dyDescent="0.3">
      <c r="A13" s="38" t="s">
        <v>169</v>
      </c>
      <c r="B13" s="4" t="s">
        <v>10</v>
      </c>
      <c r="C13" s="36">
        <v>20</v>
      </c>
      <c r="D13" s="35">
        <v>800</v>
      </c>
      <c r="E13" s="35">
        <f t="shared" si="0"/>
        <v>16000</v>
      </c>
      <c r="F13" s="36">
        <v>0</v>
      </c>
      <c r="G13" s="36">
        <v>0</v>
      </c>
      <c r="H13" s="35">
        <f t="shared" si="1"/>
        <v>16000</v>
      </c>
      <c r="J13" s="27">
        <f>V14</f>
        <v>12800</v>
      </c>
      <c r="R13" s="30" t="s">
        <v>150</v>
      </c>
      <c r="S13" s="19">
        <v>5</v>
      </c>
      <c r="T13" s="21">
        <v>800</v>
      </c>
      <c r="U13" s="19"/>
      <c r="V13" s="33">
        <f t="shared" ref="V13:V14" si="2">S13*T13</f>
        <v>4000</v>
      </c>
      <c r="W13" s="19"/>
    </row>
    <row r="14" spans="1:23" ht="15.6" x14ac:dyDescent="0.3">
      <c r="A14" s="38" t="s">
        <v>175</v>
      </c>
      <c r="B14" s="4" t="s">
        <v>163</v>
      </c>
      <c r="C14" s="36">
        <v>40</v>
      </c>
      <c r="D14" s="35">
        <v>200</v>
      </c>
      <c r="E14" s="35">
        <f t="shared" si="0"/>
        <v>8000</v>
      </c>
      <c r="F14" s="36"/>
      <c r="G14" s="36"/>
      <c r="H14" s="35">
        <f t="shared" si="1"/>
        <v>8000</v>
      </c>
      <c r="L14" s="12">
        <f>J23/5</f>
        <v>3625</v>
      </c>
      <c r="R14" s="30" t="s">
        <v>148</v>
      </c>
      <c r="S14" s="19">
        <v>16</v>
      </c>
      <c r="T14" s="21">
        <v>800</v>
      </c>
      <c r="U14" s="19"/>
      <c r="V14" s="33">
        <f t="shared" si="2"/>
        <v>12800</v>
      </c>
      <c r="W14" s="19"/>
    </row>
    <row r="15" spans="1:23" ht="15.6" x14ac:dyDescent="0.3">
      <c r="A15" s="38" t="s">
        <v>176</v>
      </c>
      <c r="B15" s="4" t="s">
        <v>11</v>
      </c>
      <c r="C15" s="36">
        <v>8100</v>
      </c>
      <c r="D15" s="35">
        <v>10</v>
      </c>
      <c r="E15" s="35">
        <f t="shared" si="0"/>
        <v>81000</v>
      </c>
      <c r="F15" s="36">
        <v>0</v>
      </c>
      <c r="G15" s="36">
        <v>0</v>
      </c>
      <c r="H15" s="35">
        <f t="shared" ref="H15" si="3">E15</f>
        <v>81000</v>
      </c>
      <c r="J15" s="27">
        <f>V16</f>
        <v>47772</v>
      </c>
      <c r="R15" s="21"/>
      <c r="S15" s="19"/>
      <c r="T15" s="21" t="s">
        <v>155</v>
      </c>
      <c r="U15" s="19"/>
      <c r="V15" s="21"/>
      <c r="W15" s="19"/>
    </row>
    <row r="16" spans="1:23" ht="15.6" x14ac:dyDescent="0.3">
      <c r="A16" s="38" t="s">
        <v>177</v>
      </c>
      <c r="B16" s="4" t="s">
        <v>11</v>
      </c>
      <c r="C16" s="36">
        <f>T25</f>
        <v>3199.600985185185</v>
      </c>
      <c r="D16" s="35">
        <v>10</v>
      </c>
      <c r="E16" s="35">
        <f t="shared" si="0"/>
        <v>31996.00985185185</v>
      </c>
      <c r="F16" s="36">
        <v>0</v>
      </c>
      <c r="G16" s="36">
        <v>0</v>
      </c>
      <c r="H16" s="35">
        <f t="shared" ref="H16" si="4">E16</f>
        <v>31996.00985185185</v>
      </c>
      <c r="Q16" s="18" t="s">
        <v>154</v>
      </c>
      <c r="R16" s="21"/>
      <c r="S16" s="19">
        <v>5308</v>
      </c>
      <c r="T16" s="21">
        <v>9</v>
      </c>
      <c r="U16" s="19"/>
      <c r="V16" s="33">
        <f>S16*T16</f>
        <v>47772</v>
      </c>
      <c r="W16" s="19"/>
    </row>
    <row r="17" spans="1:24" ht="15.6" x14ac:dyDescent="0.3">
      <c r="A17" s="38" t="s">
        <v>178</v>
      </c>
      <c r="B17" s="4" t="s">
        <v>163</v>
      </c>
      <c r="C17" s="36">
        <v>40</v>
      </c>
      <c r="D17" s="35">
        <v>250</v>
      </c>
      <c r="E17" s="35">
        <f t="shared" ref="E17" si="5">C17*D17</f>
        <v>10000</v>
      </c>
      <c r="F17" s="36">
        <v>0</v>
      </c>
      <c r="G17" s="36">
        <v>0</v>
      </c>
      <c r="H17" s="35">
        <f t="shared" ref="H17" si="6">E17</f>
        <v>10000</v>
      </c>
      <c r="J17" s="27">
        <f>V25</f>
        <v>31996.00985185185</v>
      </c>
      <c r="Q17" t="s">
        <v>189</v>
      </c>
      <c r="R17" s="21"/>
      <c r="S17" s="19">
        <f>(S25*2)/27</f>
        <v>3199.600985185185</v>
      </c>
      <c r="T17" s="21"/>
      <c r="U17" s="19"/>
      <c r="V17" s="21"/>
      <c r="W17" s="19"/>
    </row>
    <row r="18" spans="1:24" ht="15.6" x14ac:dyDescent="0.3">
      <c r="A18" s="38" t="s">
        <v>170</v>
      </c>
      <c r="B18" s="4" t="s">
        <v>157</v>
      </c>
      <c r="C18" s="36">
        <f>T41</f>
        <v>2587.5403000000001</v>
      </c>
      <c r="D18" s="35">
        <v>15</v>
      </c>
      <c r="E18" s="35">
        <f t="shared" si="0"/>
        <v>38813.104500000001</v>
      </c>
      <c r="F18" s="36">
        <v>0</v>
      </c>
      <c r="G18" s="36">
        <v>0</v>
      </c>
      <c r="H18" s="35">
        <f t="shared" ref="H18:H32" si="7">E18</f>
        <v>38813.104500000001</v>
      </c>
      <c r="R18" s="19"/>
      <c r="S18" s="19"/>
      <c r="T18" s="21"/>
      <c r="U18" s="19"/>
      <c r="V18" s="21"/>
      <c r="W18" s="19"/>
    </row>
    <row r="19" spans="1:24" ht="15.6" x14ac:dyDescent="0.3">
      <c r="A19" s="38" t="s">
        <v>174</v>
      </c>
      <c r="B19" s="4" t="s">
        <v>163</v>
      </c>
      <c r="C19" s="36">
        <v>80</v>
      </c>
      <c r="D19" s="35">
        <v>150</v>
      </c>
      <c r="E19" s="35">
        <f t="shared" ref="E19" si="8">C19*D19</f>
        <v>12000</v>
      </c>
      <c r="F19" s="36">
        <v>0</v>
      </c>
      <c r="G19" s="36">
        <v>0</v>
      </c>
      <c r="H19" s="35">
        <f t="shared" ref="H19" si="9">E19</f>
        <v>12000</v>
      </c>
      <c r="J19" s="27">
        <f>U44+U46</f>
        <v>15870.247173333333</v>
      </c>
      <c r="R19" s="19"/>
      <c r="S19" s="19"/>
    </row>
    <row r="20" spans="1:24" ht="15.6" x14ac:dyDescent="0.3">
      <c r="A20" s="38" t="s">
        <v>171</v>
      </c>
      <c r="B20" s="4" t="s">
        <v>158</v>
      </c>
      <c r="C20" s="36">
        <v>1</v>
      </c>
      <c r="D20" s="35">
        <v>50500</v>
      </c>
      <c r="E20" s="35">
        <f t="shared" si="0"/>
        <v>50500</v>
      </c>
      <c r="F20" s="36">
        <v>0</v>
      </c>
      <c r="G20" s="36">
        <v>0</v>
      </c>
      <c r="H20" s="35">
        <f>J21</f>
        <v>70700</v>
      </c>
      <c r="S20" s="19" t="s">
        <v>134</v>
      </c>
      <c r="T20" s="19" t="s">
        <v>129</v>
      </c>
      <c r="U20" s="21" t="s">
        <v>130</v>
      </c>
      <c r="V20" s="33" t="s">
        <v>122</v>
      </c>
    </row>
    <row r="21" spans="1:24" ht="15.6" x14ac:dyDescent="0.3">
      <c r="A21" s="38" t="s">
        <v>174</v>
      </c>
      <c r="B21" s="4" t="s">
        <v>163</v>
      </c>
      <c r="C21" s="36">
        <v>60</v>
      </c>
      <c r="D21" s="35">
        <v>150</v>
      </c>
      <c r="E21" s="35">
        <f t="shared" si="0"/>
        <v>9000</v>
      </c>
      <c r="F21" s="36"/>
      <c r="G21" s="36"/>
      <c r="H21" s="35">
        <f t="shared" si="7"/>
        <v>9000</v>
      </c>
      <c r="J21" s="27">
        <f>U36+V36</f>
        <v>70700</v>
      </c>
      <c r="R21" s="24" t="s">
        <v>116</v>
      </c>
      <c r="S21" s="27">
        <v>75</v>
      </c>
      <c r="T21" s="19">
        <v>5</v>
      </c>
      <c r="U21" s="19">
        <v>25</v>
      </c>
      <c r="V21" s="33">
        <f>S21*U21*T21</f>
        <v>9375</v>
      </c>
      <c r="X21" s="33">
        <v>400</v>
      </c>
    </row>
    <row r="22" spans="1:24" ht="15.6" x14ac:dyDescent="0.3">
      <c r="A22" s="38" t="s">
        <v>172</v>
      </c>
      <c r="B22" s="4" t="s">
        <v>158</v>
      </c>
      <c r="C22" s="36">
        <v>5</v>
      </c>
      <c r="D22" s="35">
        <v>4100</v>
      </c>
      <c r="E22" s="35">
        <f t="shared" ref="E22:E23" si="10">C22*D22</f>
        <v>20500</v>
      </c>
      <c r="F22" s="36">
        <v>0</v>
      </c>
      <c r="G22" s="36">
        <v>0</v>
      </c>
      <c r="H22" s="35">
        <f t="shared" ref="H22:H23" si="11">E22</f>
        <v>20500</v>
      </c>
      <c r="R22" s="24" t="s">
        <v>117</v>
      </c>
      <c r="S22" s="27">
        <v>50</v>
      </c>
      <c r="T22" s="19">
        <v>5</v>
      </c>
      <c r="U22" s="19">
        <v>35</v>
      </c>
      <c r="V22" s="33">
        <f>S22*U22*T22</f>
        <v>8750</v>
      </c>
    </row>
    <row r="23" spans="1:24" ht="15.6" x14ac:dyDescent="0.3">
      <c r="A23" s="38" t="s">
        <v>174</v>
      </c>
      <c r="B23" s="4" t="s">
        <v>163</v>
      </c>
      <c r="C23" s="36">
        <v>8</v>
      </c>
      <c r="D23" s="35">
        <v>200</v>
      </c>
      <c r="E23" s="35">
        <f t="shared" si="10"/>
        <v>1600</v>
      </c>
      <c r="F23" s="36"/>
      <c r="G23" s="36"/>
      <c r="H23" s="35">
        <f t="shared" si="11"/>
        <v>1600</v>
      </c>
      <c r="J23" s="27">
        <f>V21+V22</f>
        <v>18125</v>
      </c>
      <c r="L23" s="12">
        <f>J23/5</f>
        <v>3625</v>
      </c>
    </row>
    <row r="24" spans="1:24" ht="15.6" x14ac:dyDescent="0.3">
      <c r="A24" s="38" t="s">
        <v>173</v>
      </c>
      <c r="B24" s="4" t="s">
        <v>10</v>
      </c>
      <c r="C24" s="36">
        <v>1</v>
      </c>
      <c r="D24" s="35">
        <v>9000</v>
      </c>
      <c r="E24" s="35">
        <f t="shared" si="0"/>
        <v>9000</v>
      </c>
      <c r="F24" s="36">
        <v>0</v>
      </c>
      <c r="G24" s="36">
        <v>0</v>
      </c>
      <c r="H24" s="35">
        <f t="shared" si="7"/>
        <v>9000</v>
      </c>
      <c r="S24" s="19" t="s">
        <v>131</v>
      </c>
      <c r="T24" s="21" t="s">
        <v>133</v>
      </c>
      <c r="U24" s="19" t="s">
        <v>135</v>
      </c>
      <c r="V24" s="33" t="s">
        <v>136</v>
      </c>
    </row>
    <row r="25" spans="1:24" ht="15.6" x14ac:dyDescent="0.3">
      <c r="A25" s="38" t="s">
        <v>174</v>
      </c>
      <c r="B25" s="4" t="s">
        <v>163</v>
      </c>
      <c r="C25" s="36">
        <v>20</v>
      </c>
      <c r="D25" s="35">
        <v>200</v>
      </c>
      <c r="E25" s="35">
        <f t="shared" si="0"/>
        <v>4000</v>
      </c>
      <c r="F25" s="36"/>
      <c r="G25" s="36"/>
      <c r="H25" s="35">
        <f t="shared" si="7"/>
        <v>4000</v>
      </c>
      <c r="R25" s="23" t="s">
        <v>132</v>
      </c>
      <c r="S25" s="19">
        <v>43194.613299999997</v>
      </c>
      <c r="T25" s="27">
        <f>(S25*2)/27</f>
        <v>3199.600985185185</v>
      </c>
      <c r="U25" s="27">
        <v>10</v>
      </c>
      <c r="V25" s="32">
        <f>T25*U25</f>
        <v>31996.00985185185</v>
      </c>
    </row>
    <row r="26" spans="1:24" ht="15.6" x14ac:dyDescent="0.3">
      <c r="A26" s="38" t="s">
        <v>186</v>
      </c>
      <c r="B26" s="4" t="s">
        <v>163</v>
      </c>
      <c r="C26" s="36">
        <v>30</v>
      </c>
      <c r="D26" s="35">
        <v>200</v>
      </c>
      <c r="E26" s="35">
        <f t="shared" si="0"/>
        <v>6000</v>
      </c>
      <c r="F26" s="36"/>
      <c r="G26" s="36"/>
      <c r="H26" s="35">
        <f t="shared" si="7"/>
        <v>6000</v>
      </c>
      <c r="R26" s="23"/>
      <c r="S26" s="27" t="s">
        <v>131</v>
      </c>
      <c r="T26" s="27"/>
      <c r="U26" s="27"/>
      <c r="V26" s="27"/>
    </row>
    <row r="27" spans="1:24" ht="15.6" x14ac:dyDescent="0.3">
      <c r="A27" s="38" t="s">
        <v>187</v>
      </c>
      <c r="B27" s="4" t="s">
        <v>163</v>
      </c>
      <c r="C27" s="36">
        <v>30</v>
      </c>
      <c r="D27" s="35">
        <v>201</v>
      </c>
      <c r="E27" s="35">
        <f t="shared" ref="E27" si="12">C27*D27</f>
        <v>6030</v>
      </c>
      <c r="F27" s="36"/>
      <c r="G27" s="36"/>
      <c r="H27" s="35">
        <f t="shared" ref="H27" si="13">E27</f>
        <v>6030</v>
      </c>
      <c r="R27" s="23"/>
      <c r="S27" s="27"/>
    </row>
    <row r="28" spans="1:24" ht="15.6" x14ac:dyDescent="0.3">
      <c r="A28" s="38" t="s">
        <v>165</v>
      </c>
      <c r="B28" s="4" t="s">
        <v>158</v>
      </c>
      <c r="C28" s="36">
        <v>8</v>
      </c>
      <c r="D28" s="35">
        <v>1200</v>
      </c>
      <c r="E28" s="35">
        <f t="shared" si="0"/>
        <v>9600</v>
      </c>
      <c r="F28" s="36"/>
      <c r="G28" s="36"/>
      <c r="H28" s="35">
        <f t="shared" si="7"/>
        <v>9600</v>
      </c>
      <c r="R28" s="24" t="s">
        <v>116</v>
      </c>
      <c r="S28" s="27">
        <v>75</v>
      </c>
      <c r="T28" s="23"/>
    </row>
    <row r="29" spans="1:24" ht="15.6" x14ac:dyDescent="0.3">
      <c r="A29" s="38" t="s">
        <v>13</v>
      </c>
      <c r="B29" s="4" t="s">
        <v>8</v>
      </c>
      <c r="C29" s="36">
        <v>40</v>
      </c>
      <c r="D29" s="35">
        <v>200</v>
      </c>
      <c r="E29" s="35">
        <f t="shared" si="0"/>
        <v>8000</v>
      </c>
      <c r="F29" s="36">
        <v>0</v>
      </c>
      <c r="G29" s="36">
        <v>0</v>
      </c>
      <c r="H29" s="35">
        <f t="shared" si="7"/>
        <v>8000</v>
      </c>
      <c r="M29" t="s">
        <v>179</v>
      </c>
      <c r="R29" s="24" t="s">
        <v>117</v>
      </c>
      <c r="S29" s="27">
        <v>50</v>
      </c>
      <c r="T29" s="23"/>
    </row>
    <row r="30" spans="1:24" ht="15.6" x14ac:dyDescent="0.3">
      <c r="A30" s="38" t="s">
        <v>153</v>
      </c>
      <c r="B30" s="4" t="s">
        <v>10</v>
      </c>
      <c r="C30" s="36">
        <v>400</v>
      </c>
      <c r="D30" s="35">
        <v>20</v>
      </c>
      <c r="E30" s="35">
        <f t="shared" si="0"/>
        <v>8000</v>
      </c>
      <c r="F30" s="36">
        <v>0</v>
      </c>
      <c r="G30" s="36">
        <v>0</v>
      </c>
      <c r="H30" s="35">
        <f t="shared" si="7"/>
        <v>8000</v>
      </c>
      <c r="R30" s="24"/>
      <c r="S30" s="27"/>
      <c r="T30" s="23"/>
    </row>
    <row r="31" spans="1:24" ht="15.6" x14ac:dyDescent="0.3">
      <c r="A31" s="38" t="s">
        <v>160</v>
      </c>
      <c r="B31" s="4" t="s">
        <v>10</v>
      </c>
      <c r="C31" s="36">
        <v>2000</v>
      </c>
      <c r="D31" s="35">
        <v>5</v>
      </c>
      <c r="E31" s="35">
        <f t="shared" si="0"/>
        <v>10000</v>
      </c>
      <c r="F31" s="36">
        <v>0</v>
      </c>
      <c r="G31" s="36">
        <v>0</v>
      </c>
      <c r="H31" s="35">
        <f t="shared" si="7"/>
        <v>10000</v>
      </c>
      <c r="J31" s="21"/>
      <c r="S31" s="19" t="s">
        <v>143</v>
      </c>
      <c r="T31" s="19">
        <v>0.35</v>
      </c>
      <c r="U31" s="19" t="s">
        <v>144</v>
      </c>
      <c r="V31" s="19" t="s">
        <v>145</v>
      </c>
      <c r="W31" s="26"/>
    </row>
    <row r="32" spans="1:24" ht="15.6" x14ac:dyDescent="0.3">
      <c r="A32" s="38" t="s">
        <v>184</v>
      </c>
      <c r="B32" s="4" t="s">
        <v>10</v>
      </c>
      <c r="C32" s="36">
        <v>6</v>
      </c>
      <c r="D32" s="35">
        <v>15</v>
      </c>
      <c r="E32" s="35">
        <f t="shared" ref="E32" si="14">C32*D32</f>
        <v>90</v>
      </c>
      <c r="F32" s="36">
        <v>0</v>
      </c>
      <c r="G32" s="36">
        <v>0</v>
      </c>
      <c r="H32" s="35">
        <f t="shared" si="7"/>
        <v>90</v>
      </c>
      <c r="S32" s="19"/>
      <c r="T32" s="19"/>
      <c r="U32" s="19"/>
      <c r="V32" s="19"/>
      <c r="W32" s="26"/>
    </row>
    <row r="33" spans="1:23" ht="15.6" x14ac:dyDescent="0.3">
      <c r="A33" s="38" t="s">
        <v>188</v>
      </c>
      <c r="B33" s="4" t="s">
        <v>163</v>
      </c>
      <c r="C33" s="36">
        <v>20</v>
      </c>
      <c r="D33" s="35">
        <v>200</v>
      </c>
      <c r="E33" s="35">
        <f t="shared" ref="E33" si="15">C33*D33</f>
        <v>4000</v>
      </c>
      <c r="F33" s="36">
        <v>0</v>
      </c>
      <c r="G33" s="36">
        <v>0</v>
      </c>
      <c r="H33" s="35">
        <f t="shared" ref="H33" si="16">E33</f>
        <v>4000</v>
      </c>
      <c r="K33" s="42">
        <v>350</v>
      </c>
      <c r="L33" s="42">
        <v>800</v>
      </c>
      <c r="M33" s="42">
        <f>K33*L33</f>
        <v>280000</v>
      </c>
      <c r="N33" s="42"/>
      <c r="R33" s="23" t="s">
        <v>140</v>
      </c>
      <c r="S33" s="19">
        <v>1082</v>
      </c>
      <c r="T33" s="25">
        <f>T31*S33</f>
        <v>378.7</v>
      </c>
      <c r="U33" s="27">
        <f>T33*$S$28</f>
        <v>28402.5</v>
      </c>
      <c r="V33" s="27">
        <f>$S$29*T33</f>
        <v>18935</v>
      </c>
      <c r="W33" s="25"/>
    </row>
    <row r="34" spans="1:23" ht="15.6" x14ac:dyDescent="0.3">
      <c r="A34" s="38" t="s">
        <v>122</v>
      </c>
      <c r="B34" s="4"/>
      <c r="C34" s="36"/>
      <c r="D34" s="35"/>
      <c r="E34" s="35"/>
      <c r="F34" s="36"/>
      <c r="G34" s="36"/>
      <c r="H34" s="35">
        <f>SUM(H3:H33)</f>
        <v>432309.11435185187</v>
      </c>
      <c r="K34" s="42"/>
      <c r="L34" s="42"/>
      <c r="M34" s="42">
        <f>M33*0.75</f>
        <v>210000</v>
      </c>
      <c r="N34" s="42"/>
      <c r="R34" s="23" t="s">
        <v>141</v>
      </c>
      <c r="S34" s="19">
        <v>224</v>
      </c>
      <c r="T34" s="25">
        <f>T31*S34</f>
        <v>78.399999999999991</v>
      </c>
      <c r="U34" s="27">
        <f>T34*$S$28</f>
        <v>5879.9999999999991</v>
      </c>
      <c r="V34" s="27">
        <f t="shared" ref="V34:V35" si="17">$S$29*T34</f>
        <v>3919.9999999999995</v>
      </c>
      <c r="W34" s="26"/>
    </row>
    <row r="35" spans="1:23" ht="15.6" x14ac:dyDescent="0.3">
      <c r="A35" s="38" t="s">
        <v>164</v>
      </c>
      <c r="B35" s="4"/>
      <c r="C35" s="36"/>
      <c r="D35" s="35"/>
      <c r="E35" s="35"/>
      <c r="F35" s="36"/>
      <c r="G35" s="36"/>
      <c r="H35" s="41">
        <f>(H34*0.1)+H34</f>
        <v>475540.02578703704</v>
      </c>
      <c r="R35" s="23" t="s">
        <v>142</v>
      </c>
      <c r="S35" s="19">
        <v>310</v>
      </c>
      <c r="T35" s="25">
        <f>T31*S35</f>
        <v>108.5</v>
      </c>
      <c r="U35" s="28">
        <f>T35*$S$28</f>
        <v>8137.5</v>
      </c>
      <c r="V35" s="28">
        <f t="shared" si="17"/>
        <v>5425</v>
      </c>
      <c r="W35" s="26"/>
    </row>
    <row r="36" spans="1:23" ht="14.45" x14ac:dyDescent="0.3">
      <c r="R36" s="24"/>
      <c r="S36" s="19"/>
      <c r="T36" s="10" t="s">
        <v>136</v>
      </c>
      <c r="U36" s="31">
        <f>SUM(U33:U35)</f>
        <v>42420</v>
      </c>
      <c r="V36" s="31">
        <f>SUM(V33:V35)</f>
        <v>28280</v>
      </c>
    </row>
    <row r="37" spans="1:23" ht="14.45" x14ac:dyDescent="0.3">
      <c r="B37" s="1"/>
      <c r="C37" s="1"/>
      <c r="R37" s="24"/>
      <c r="S37" s="27"/>
      <c r="T37" s="23"/>
    </row>
    <row r="38" spans="1:23" ht="15.6" x14ac:dyDescent="0.3">
      <c r="A38" s="43" t="s">
        <v>181</v>
      </c>
      <c r="R38" s="24"/>
      <c r="S38" s="27"/>
      <c r="T38" s="23"/>
    </row>
    <row r="39" spans="1:23" ht="14.45" x14ac:dyDescent="0.3">
      <c r="J39" s="27" t="s">
        <v>180</v>
      </c>
      <c r="L39">
        <v>2588</v>
      </c>
      <c r="M39">
        <f>L39/400</f>
        <v>6.47</v>
      </c>
      <c r="R39" s="23"/>
      <c r="S39" s="23"/>
      <c r="T39" s="24"/>
    </row>
    <row r="40" spans="1:23" ht="14.45" x14ac:dyDescent="0.3">
      <c r="S40" s="23" t="s">
        <v>137</v>
      </c>
    </row>
    <row r="41" spans="1:23" ht="14.45" x14ac:dyDescent="0.3">
      <c r="S41" s="23" t="s">
        <v>152</v>
      </c>
      <c r="T41" s="25">
        <v>2587.5403000000001</v>
      </c>
    </row>
    <row r="42" spans="1:23" ht="14.45" x14ac:dyDescent="0.3">
      <c r="A42" s="5" t="s">
        <v>14</v>
      </c>
      <c r="B42" s="5" t="s">
        <v>15</v>
      </c>
      <c r="C42" s="5" t="s">
        <v>16</v>
      </c>
      <c r="D42" s="5" t="s">
        <v>17</v>
      </c>
      <c r="E42" s="5" t="s">
        <v>18</v>
      </c>
      <c r="F42" s="5" t="s">
        <v>19</v>
      </c>
      <c r="T42" s="19"/>
    </row>
    <row r="43" spans="1:23" ht="14.45" x14ac:dyDescent="0.3">
      <c r="A43" s="5" t="s">
        <v>20</v>
      </c>
      <c r="B43" s="5" t="s">
        <v>21</v>
      </c>
      <c r="C43" s="5" t="s">
        <v>22</v>
      </c>
      <c r="D43" s="6">
        <v>13</v>
      </c>
      <c r="E43" s="5" t="s">
        <v>23</v>
      </c>
      <c r="F43" s="7">
        <v>40000</v>
      </c>
      <c r="T43" s="21" t="s">
        <v>119</v>
      </c>
      <c r="U43" t="s">
        <v>146</v>
      </c>
    </row>
    <row r="44" spans="1:23" ht="14.45" x14ac:dyDescent="0.3">
      <c r="A44" s="5" t="s">
        <v>24</v>
      </c>
      <c r="B44" s="5" t="s">
        <v>25</v>
      </c>
      <c r="C44" s="5" t="s">
        <v>26</v>
      </c>
      <c r="D44" s="6">
        <v>10</v>
      </c>
      <c r="E44" s="5" t="s">
        <v>23</v>
      </c>
      <c r="F44" s="8">
        <v>40000</v>
      </c>
      <c r="R44" t="s">
        <v>138</v>
      </c>
      <c r="T44" s="25">
        <f>T41*0.8</f>
        <v>2070.03224</v>
      </c>
      <c r="U44" s="31">
        <f>T44*5</f>
        <v>10350.1612</v>
      </c>
      <c r="W44" s="12">
        <f>U44+U46</f>
        <v>15870.247173333333</v>
      </c>
    </row>
    <row r="45" spans="1:23" ht="14.45" x14ac:dyDescent="0.3">
      <c r="A45" s="5" t="s">
        <v>27</v>
      </c>
      <c r="B45" s="5" t="s">
        <v>28</v>
      </c>
      <c r="C45" s="5" t="s">
        <v>29</v>
      </c>
      <c r="D45" s="6">
        <v>39952</v>
      </c>
      <c r="E45" s="5" t="s">
        <v>30</v>
      </c>
      <c r="F45" s="9">
        <v>8</v>
      </c>
      <c r="T45" s="25"/>
      <c r="U45" s="29" t="s">
        <v>147</v>
      </c>
      <c r="W45" s="20">
        <f>W44/T41</f>
        <v>6.1333333333333329</v>
      </c>
    </row>
    <row r="46" spans="1:23" ht="14.45" x14ac:dyDescent="0.3">
      <c r="A46" s="5" t="s">
        <v>31</v>
      </c>
      <c r="B46" s="5" t="s">
        <v>32</v>
      </c>
      <c r="C46" s="5" t="s">
        <v>33</v>
      </c>
      <c r="D46" s="6">
        <v>63</v>
      </c>
      <c r="E46" s="5" t="s">
        <v>34</v>
      </c>
      <c r="F46" s="8">
        <v>3800</v>
      </c>
      <c r="S46" s="23" t="s">
        <v>139</v>
      </c>
      <c r="T46" s="25">
        <f>(T41*0.8*4.5)/27</f>
        <v>345.00537333333335</v>
      </c>
      <c r="U46" s="31">
        <f>(T46/10)*160</f>
        <v>5520.0859733333336</v>
      </c>
    </row>
    <row r="47" spans="1:23" ht="14.45" x14ac:dyDescent="0.3">
      <c r="A47" s="5" t="s">
        <v>35</v>
      </c>
      <c r="B47" s="5" t="s">
        <v>36</v>
      </c>
      <c r="C47" s="5" t="s">
        <v>37</v>
      </c>
      <c r="D47" s="6">
        <v>39952</v>
      </c>
      <c r="E47" s="5" t="s">
        <v>30</v>
      </c>
      <c r="F47" s="9">
        <v>2.5</v>
      </c>
    </row>
    <row r="48" spans="1:23" ht="14.45" x14ac:dyDescent="0.3">
      <c r="A48" s="5" t="s">
        <v>38</v>
      </c>
      <c r="B48" s="5" t="s">
        <v>39</v>
      </c>
      <c r="C48" s="5" t="s">
        <v>40</v>
      </c>
      <c r="D48" s="6">
        <v>267</v>
      </c>
      <c r="E48" s="5" t="s">
        <v>34</v>
      </c>
      <c r="F48" s="8">
        <v>3600</v>
      </c>
    </row>
    <row r="49" spans="1:20" x14ac:dyDescent="0.25">
      <c r="A49" s="5" t="s">
        <v>41</v>
      </c>
      <c r="B49" s="5" t="s">
        <v>39</v>
      </c>
      <c r="C49" s="5" t="s">
        <v>42</v>
      </c>
      <c r="D49" s="6">
        <v>267</v>
      </c>
      <c r="E49" s="5" t="s">
        <v>34</v>
      </c>
      <c r="F49" s="8">
        <v>1300</v>
      </c>
      <c r="R49" t="s">
        <v>159</v>
      </c>
      <c r="T49" s="25">
        <f>T41/15</f>
        <v>172.50268666666668</v>
      </c>
    </row>
    <row r="50" spans="1:20" x14ac:dyDescent="0.25">
      <c r="A50" s="5" t="s">
        <v>43</v>
      </c>
      <c r="B50" s="5" t="s">
        <v>39</v>
      </c>
      <c r="C50" s="5" t="s">
        <v>44</v>
      </c>
      <c r="D50" s="6">
        <v>20000</v>
      </c>
      <c r="E50" s="5" t="s">
        <v>45</v>
      </c>
      <c r="F50" s="8">
        <v>22</v>
      </c>
    </row>
    <row r="51" spans="1:20" x14ac:dyDescent="0.25">
      <c r="A51" s="5" t="s">
        <v>46</v>
      </c>
      <c r="B51" s="5" t="s">
        <v>47</v>
      </c>
      <c r="C51" s="5" t="s">
        <v>48</v>
      </c>
      <c r="D51" s="6">
        <v>119413</v>
      </c>
      <c r="E51" s="5" t="s">
        <v>45</v>
      </c>
      <c r="F51" s="8">
        <v>4</v>
      </c>
    </row>
    <row r="52" spans="1:20" x14ac:dyDescent="0.25">
      <c r="A52" s="5" t="s">
        <v>49</v>
      </c>
      <c r="B52" s="5" t="s">
        <v>47</v>
      </c>
      <c r="C52" s="5" t="s">
        <v>50</v>
      </c>
      <c r="D52" s="6">
        <v>119413</v>
      </c>
      <c r="E52" s="5" t="s">
        <v>45</v>
      </c>
      <c r="F52" s="8"/>
    </row>
    <row r="53" spans="1:20" x14ac:dyDescent="0.25">
      <c r="A53" s="5" t="s">
        <v>51</v>
      </c>
      <c r="B53" s="5" t="s">
        <v>52</v>
      </c>
      <c r="C53" s="5" t="s">
        <v>53</v>
      </c>
      <c r="D53" s="6">
        <v>63</v>
      </c>
      <c r="E53" s="5" t="s">
        <v>34</v>
      </c>
      <c r="F53" s="8"/>
      <c r="R53" t="s">
        <v>185</v>
      </c>
    </row>
    <row r="54" spans="1:20" x14ac:dyDescent="0.25">
      <c r="A54" s="5" t="s">
        <v>54</v>
      </c>
      <c r="B54" s="5" t="s">
        <v>55</v>
      </c>
      <c r="C54" s="5" t="s">
        <v>56</v>
      </c>
      <c r="D54" s="6">
        <v>10</v>
      </c>
      <c r="E54" s="5" t="s">
        <v>34</v>
      </c>
      <c r="F54" s="8">
        <v>6400</v>
      </c>
      <c r="S54">
        <v>6907.48</v>
      </c>
    </row>
    <row r="55" spans="1:20" x14ac:dyDescent="0.25">
      <c r="A55" s="5" t="s">
        <v>57</v>
      </c>
      <c r="B55" s="5" t="s">
        <v>58</v>
      </c>
      <c r="C55" s="5" t="s">
        <v>59</v>
      </c>
      <c r="D55" s="6">
        <v>600</v>
      </c>
      <c r="E55" s="5" t="s">
        <v>34</v>
      </c>
      <c r="F55" s="8"/>
      <c r="S55">
        <v>9991.4668999999994</v>
      </c>
    </row>
    <row r="56" spans="1:20" x14ac:dyDescent="0.25">
      <c r="A56" s="5" t="s">
        <v>60</v>
      </c>
      <c r="B56" s="5" t="s">
        <v>58</v>
      </c>
      <c r="C56" s="5" t="s">
        <v>61</v>
      </c>
      <c r="D56" s="6">
        <v>267</v>
      </c>
      <c r="E56" s="5" t="s">
        <v>34</v>
      </c>
      <c r="F56" s="8"/>
      <c r="S56">
        <v>8052.5147999999999</v>
      </c>
    </row>
    <row r="57" spans="1:20" x14ac:dyDescent="0.25">
      <c r="S57">
        <v>16391.431499999999</v>
      </c>
    </row>
    <row r="59" spans="1:20" x14ac:dyDescent="0.25">
      <c r="A59" t="s">
        <v>62</v>
      </c>
      <c r="R59" t="s">
        <v>182</v>
      </c>
      <c r="S59">
        <f>SUM(S54:S57)</f>
        <v>41342.893199999999</v>
      </c>
    </row>
    <row r="61" spans="1:20" x14ac:dyDescent="0.25">
      <c r="A61" t="s">
        <v>63</v>
      </c>
    </row>
    <row r="62" spans="1:20" x14ac:dyDescent="0.25">
      <c r="A62" t="s">
        <v>64</v>
      </c>
    </row>
    <row r="63" spans="1:20" x14ac:dyDescent="0.25">
      <c r="A63" t="s">
        <v>65</v>
      </c>
      <c r="B63" t="s">
        <v>66</v>
      </c>
    </row>
    <row r="64" spans="1:20" x14ac:dyDescent="0.25">
      <c r="A64" t="s">
        <v>67</v>
      </c>
      <c r="B64" t="s">
        <v>68</v>
      </c>
    </row>
    <row r="65" spans="1:2" x14ac:dyDescent="0.25">
      <c r="A65" t="s">
        <v>69</v>
      </c>
      <c r="B65" t="s">
        <v>70</v>
      </c>
    </row>
    <row r="66" spans="1:2" x14ac:dyDescent="0.25">
      <c r="B66" t="s">
        <v>71</v>
      </c>
    </row>
    <row r="67" spans="1:2" x14ac:dyDescent="0.25">
      <c r="B67" t="s">
        <v>72</v>
      </c>
    </row>
    <row r="68" spans="1:2" x14ac:dyDescent="0.25">
      <c r="A68" t="s">
        <v>73</v>
      </c>
    </row>
    <row r="69" spans="1:2" x14ac:dyDescent="0.25">
      <c r="A69" t="s">
        <v>65</v>
      </c>
      <c r="B69" t="s">
        <v>74</v>
      </c>
    </row>
    <row r="70" spans="1:2" x14ac:dyDescent="0.25">
      <c r="A70" t="s">
        <v>67</v>
      </c>
      <c r="B70" t="s">
        <v>75</v>
      </c>
    </row>
    <row r="71" spans="1:2" x14ac:dyDescent="0.25">
      <c r="A71" t="s">
        <v>69</v>
      </c>
      <c r="B71" t="s">
        <v>76</v>
      </c>
    </row>
    <row r="72" spans="1:2" x14ac:dyDescent="0.25">
      <c r="B72" t="s">
        <v>77</v>
      </c>
    </row>
    <row r="73" spans="1:2" x14ac:dyDescent="0.25">
      <c r="A73" t="s">
        <v>78</v>
      </c>
    </row>
    <row r="74" spans="1:2" x14ac:dyDescent="0.25">
      <c r="A74" t="s">
        <v>79</v>
      </c>
    </row>
    <row r="75" spans="1:2" x14ac:dyDescent="0.25">
      <c r="A75" t="s">
        <v>65</v>
      </c>
      <c r="B75" t="s">
        <v>80</v>
      </c>
    </row>
    <row r="76" spans="1:2" x14ac:dyDescent="0.25">
      <c r="A76" t="s">
        <v>67</v>
      </c>
      <c r="B76" t="s">
        <v>81</v>
      </c>
    </row>
    <row r="77" spans="1:2" x14ac:dyDescent="0.25">
      <c r="A77" t="s">
        <v>69</v>
      </c>
      <c r="B77" t="s">
        <v>82</v>
      </c>
    </row>
    <row r="78" spans="1:2" x14ac:dyDescent="0.25">
      <c r="B78" t="s">
        <v>83</v>
      </c>
    </row>
    <row r="79" spans="1:2" x14ac:dyDescent="0.25">
      <c r="B79" t="s">
        <v>84</v>
      </c>
    </row>
    <row r="81" spans="1:15" x14ac:dyDescent="0.25">
      <c r="A81" t="s">
        <v>85</v>
      </c>
    </row>
    <row r="82" spans="1:15" x14ac:dyDescent="0.25">
      <c r="A82" t="s">
        <v>79</v>
      </c>
    </row>
    <row r="83" spans="1:15" x14ac:dyDescent="0.25">
      <c r="A83" t="s">
        <v>65</v>
      </c>
      <c r="B83" t="s">
        <v>86</v>
      </c>
    </row>
    <row r="84" spans="1:15" x14ac:dyDescent="0.25">
      <c r="A84" t="s">
        <v>67</v>
      </c>
      <c r="B84" t="s">
        <v>75</v>
      </c>
    </row>
    <row r="86" spans="1:15" x14ac:dyDescent="0.25">
      <c r="A86" t="s">
        <v>87</v>
      </c>
    </row>
    <row r="87" spans="1:15" x14ac:dyDescent="0.25">
      <c r="A87" t="s">
        <v>88</v>
      </c>
      <c r="B87" t="s">
        <v>89</v>
      </c>
      <c r="N87" s="10" t="s">
        <v>103</v>
      </c>
    </row>
    <row r="88" spans="1:15" x14ac:dyDescent="0.25">
      <c r="A88" t="s">
        <v>90</v>
      </c>
      <c r="B88" t="s">
        <v>91</v>
      </c>
      <c r="L88" s="10" t="s">
        <v>101</v>
      </c>
      <c r="M88" s="11" t="s">
        <v>102</v>
      </c>
      <c r="N88" s="12">
        <v>500</v>
      </c>
      <c r="O88" s="10" t="s">
        <v>104</v>
      </c>
    </row>
    <row r="89" spans="1:15" x14ac:dyDescent="0.25">
      <c r="B89" t="s">
        <v>92</v>
      </c>
      <c r="L89">
        <v>27</v>
      </c>
      <c r="M89">
        <f>L89</f>
        <v>27</v>
      </c>
      <c r="N89" s="12">
        <v>250</v>
      </c>
      <c r="O89" s="12">
        <f>N88*M89</f>
        <v>13500</v>
      </c>
    </row>
    <row r="90" spans="1:15" x14ac:dyDescent="0.25">
      <c r="B90" t="s">
        <v>93</v>
      </c>
      <c r="L90">
        <v>111</v>
      </c>
      <c r="M90">
        <f t="shared" ref="M90:M96" si="18">L90</f>
        <v>111</v>
      </c>
      <c r="N90" s="12">
        <v>125</v>
      </c>
      <c r="O90" s="12">
        <f>N89*M90</f>
        <v>27750</v>
      </c>
    </row>
    <row r="91" spans="1:15" x14ac:dyDescent="0.25">
      <c r="L91">
        <v>125</v>
      </c>
      <c r="M91">
        <f t="shared" si="18"/>
        <v>125</v>
      </c>
      <c r="N91" s="12"/>
      <c r="O91" s="12">
        <f>N90*M91</f>
        <v>15625</v>
      </c>
    </row>
    <row r="92" spans="1:15" x14ac:dyDescent="0.25">
      <c r="A92" t="s">
        <v>94</v>
      </c>
      <c r="M92" s="13">
        <f>SUM(M89:M91)</f>
        <v>263</v>
      </c>
      <c r="N92" s="12">
        <v>10</v>
      </c>
      <c r="O92" s="12"/>
    </row>
    <row r="93" spans="1:15" x14ac:dyDescent="0.25">
      <c r="A93" t="s">
        <v>95</v>
      </c>
      <c r="B93" t="s">
        <v>96</v>
      </c>
      <c r="L93">
        <v>875</v>
      </c>
      <c r="M93">
        <f t="shared" si="18"/>
        <v>875</v>
      </c>
      <c r="N93" s="12">
        <v>100</v>
      </c>
      <c r="O93" s="12">
        <f>N92*M93</f>
        <v>8750</v>
      </c>
    </row>
    <row r="94" spans="1:15" x14ac:dyDescent="0.25">
      <c r="L94">
        <v>120</v>
      </c>
      <c r="M94">
        <f t="shared" si="18"/>
        <v>120</v>
      </c>
      <c r="N94" s="12">
        <v>75</v>
      </c>
      <c r="O94" s="12">
        <f>N93*M94</f>
        <v>12000</v>
      </c>
    </row>
    <row r="95" spans="1:15" x14ac:dyDescent="0.25">
      <c r="A95" t="s">
        <v>97</v>
      </c>
      <c r="L95">
        <v>60</v>
      </c>
      <c r="M95">
        <f t="shared" si="18"/>
        <v>60</v>
      </c>
      <c r="N95" s="12">
        <v>10</v>
      </c>
      <c r="O95" s="12">
        <f>N94*M95</f>
        <v>4500</v>
      </c>
    </row>
    <row r="96" spans="1:15" x14ac:dyDescent="0.25">
      <c r="A96" t="s">
        <v>95</v>
      </c>
      <c r="B96" t="s">
        <v>98</v>
      </c>
      <c r="L96">
        <v>300</v>
      </c>
      <c r="M96">
        <f t="shared" si="18"/>
        <v>300</v>
      </c>
      <c r="O96" s="12">
        <f>N95*M96</f>
        <v>3000</v>
      </c>
    </row>
    <row r="97" spans="1:15" x14ac:dyDescent="0.25">
      <c r="A97" t="s">
        <v>67</v>
      </c>
      <c r="B97" t="s">
        <v>99</v>
      </c>
      <c r="N97" s="11" t="s">
        <v>113</v>
      </c>
    </row>
    <row r="98" spans="1:15" x14ac:dyDescent="0.25">
      <c r="O98" s="14">
        <f>SUM(O89:O97)</f>
        <v>85125</v>
      </c>
    </row>
    <row r="99" spans="1:15" x14ac:dyDescent="0.25">
      <c r="N99" s="10" t="s">
        <v>103</v>
      </c>
    </row>
    <row r="100" spans="1:15" x14ac:dyDescent="0.25">
      <c r="A100" s="10" t="s">
        <v>100</v>
      </c>
      <c r="L100" s="10" t="s">
        <v>101</v>
      </c>
      <c r="M100" s="11" t="s">
        <v>102</v>
      </c>
      <c r="N100" s="12">
        <v>100</v>
      </c>
      <c r="O100" s="10" t="s">
        <v>104</v>
      </c>
    </row>
    <row r="101" spans="1:15" x14ac:dyDescent="0.25">
      <c r="L101">
        <v>10</v>
      </c>
      <c r="M101">
        <f>L101*3</f>
        <v>30</v>
      </c>
      <c r="N101" s="12">
        <v>75</v>
      </c>
      <c r="O101" s="12">
        <f>N100*M101</f>
        <v>3000</v>
      </c>
    </row>
    <row r="102" spans="1:15" x14ac:dyDescent="0.25">
      <c r="A102" t="s">
        <v>105</v>
      </c>
      <c r="L102">
        <v>20</v>
      </c>
      <c r="M102">
        <f t="shared" ref="M102:M103" si="19">L102*3</f>
        <v>60</v>
      </c>
      <c r="N102" s="12">
        <v>50</v>
      </c>
      <c r="O102" s="12">
        <f>N101*M102</f>
        <v>4500</v>
      </c>
    </row>
    <row r="103" spans="1:15" x14ac:dyDescent="0.25">
      <c r="B103" t="s">
        <v>106</v>
      </c>
      <c r="L103">
        <v>30</v>
      </c>
      <c r="M103">
        <f t="shared" si="19"/>
        <v>90</v>
      </c>
      <c r="N103" s="11" t="s">
        <v>113</v>
      </c>
      <c r="O103" s="12">
        <f>N102*M103</f>
        <v>4500</v>
      </c>
    </row>
    <row r="104" spans="1:15" ht="15.75" thickBot="1" x14ac:dyDescent="0.3">
      <c r="B104" t="s">
        <v>107</v>
      </c>
      <c r="O104" s="14">
        <f>SUM(O101:O103)</f>
        <v>12000</v>
      </c>
    </row>
    <row r="105" spans="1:15" ht="15.75" thickBot="1" x14ac:dyDescent="0.3">
      <c r="N105" s="16" t="s">
        <v>118</v>
      </c>
    </row>
    <row r="106" spans="1:15" ht="15.75" thickBot="1" x14ac:dyDescent="0.3">
      <c r="A106" t="s">
        <v>108</v>
      </c>
      <c r="K106" s="15"/>
      <c r="L106" s="15"/>
      <c r="M106" s="15"/>
      <c r="O106" s="17">
        <f>O104+O98+O86+O74+O62</f>
        <v>97125</v>
      </c>
    </row>
    <row r="107" spans="1:15" x14ac:dyDescent="0.25">
      <c r="A107" t="s">
        <v>109</v>
      </c>
    </row>
    <row r="108" spans="1:15" x14ac:dyDescent="0.25">
      <c r="B108" t="s">
        <v>110</v>
      </c>
    </row>
    <row r="109" spans="1:15" x14ac:dyDescent="0.25">
      <c r="B109" t="s">
        <v>111</v>
      </c>
    </row>
    <row r="110" spans="1:15" x14ac:dyDescent="0.25">
      <c r="A110" t="s">
        <v>112</v>
      </c>
    </row>
    <row r="112" spans="1:15" x14ac:dyDescent="0.25">
      <c r="A112" s="10" t="s">
        <v>114</v>
      </c>
    </row>
    <row r="114" spans="1:10" x14ac:dyDescent="0.25">
      <c r="B114" t="s">
        <v>115</v>
      </c>
    </row>
    <row r="115" spans="1:10" ht="15.75" thickBot="1" x14ac:dyDescent="0.3">
      <c r="B115" t="s">
        <v>116</v>
      </c>
    </row>
    <row r="116" spans="1:10" ht="15.75" thickBot="1" x14ac:dyDescent="0.3">
      <c r="A116" s="10"/>
      <c r="B116" t="s">
        <v>117</v>
      </c>
      <c r="J116" s="34"/>
    </row>
    <row r="119" spans="1:10" x14ac:dyDescent="0.25">
      <c r="A119" s="10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Calcs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VIKING</dc:creator>
  <cp:lastModifiedBy>Kathryn Frenyea</cp:lastModifiedBy>
  <cp:lastPrinted>2018-10-15T19:59:48Z</cp:lastPrinted>
  <dcterms:created xsi:type="dcterms:W3CDTF">2018-10-09T15:45:33Z</dcterms:created>
  <dcterms:modified xsi:type="dcterms:W3CDTF">2018-10-15T21:56:40Z</dcterms:modified>
</cp:coreProperties>
</file>