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e135b5154d4081/Documents/Buffalo Flats/Budget/"/>
    </mc:Choice>
  </mc:AlternateContent>
  <xr:revisionPtr revIDLastSave="93" documentId="8_{0F437B95-ECB2-4453-A328-930812B68957}" xr6:coauthVersionLast="47" xr6:coauthVersionMax="47" xr10:uidLastSave="{50444DF4-FAC6-42DE-AC7A-55984CD53784}"/>
  <bookViews>
    <workbookView xWindow="28680" yWindow="-120" windowWidth="29040" windowHeight="17520" tabRatio="156" xr2:uid="{AFD5312B-B703-4B1C-A0B4-62F27E5E4167}"/>
  </bookViews>
  <sheets>
    <sheet name="CAP CCC" sheetId="3" r:id="rId1"/>
  </sheets>
  <definedNames>
    <definedName name="_xlnm.Print_Area" localSheetId="0">'CAP CCC'!$A$1:$H$47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G47" i="3"/>
  <c r="H47" i="3"/>
  <c r="G43" i="3"/>
  <c r="F43" i="3"/>
  <c r="F40" i="3"/>
  <c r="H43" i="3"/>
  <c r="G40" i="3"/>
  <c r="H40" i="3"/>
  <c r="H41" i="3"/>
  <c r="G41" i="3"/>
  <c r="G38" i="3"/>
  <c r="G37" i="3"/>
  <c r="G36" i="3"/>
  <c r="F38" i="3"/>
  <c r="F37" i="3"/>
  <c r="F35" i="3" s="1"/>
  <c r="F45" i="3" s="1"/>
  <c r="H38" i="3"/>
  <c r="H37" i="3"/>
  <c r="H36" i="3"/>
  <c r="F16" i="3"/>
  <c r="H8" i="3"/>
  <c r="F8" i="3" s="1"/>
  <c r="H19" i="3"/>
  <c r="F19" i="3" s="1"/>
  <c r="H21" i="3"/>
  <c r="F21" i="3" s="1"/>
  <c r="H33" i="3"/>
  <c r="G33" i="3" s="1"/>
  <c r="E32" i="3"/>
  <c r="H32" i="3" s="1"/>
  <c r="F32" i="3" s="1"/>
  <c r="E31" i="3"/>
  <c r="H31" i="3" s="1"/>
  <c r="F31" i="3" s="1"/>
  <c r="E30" i="3"/>
  <c r="H30" i="3" s="1"/>
  <c r="F30" i="3" s="1"/>
  <c r="E29" i="3"/>
  <c r="H29" i="3" s="1"/>
  <c r="F29" i="3" s="1"/>
  <c r="E28" i="3"/>
  <c r="H28" i="3" s="1"/>
  <c r="F28" i="3" s="1"/>
  <c r="E27" i="3"/>
  <c r="H27" i="3" s="1"/>
  <c r="G27" i="3" s="1"/>
  <c r="E26" i="3"/>
  <c r="H26" i="3" s="1"/>
  <c r="G26" i="3" s="1"/>
  <c r="E25" i="3"/>
  <c r="H25" i="3" s="1"/>
  <c r="G25" i="3" s="1"/>
  <c r="E24" i="3"/>
  <c r="H24" i="3" s="1"/>
  <c r="G24" i="3" s="1"/>
  <c r="E23" i="3"/>
  <c r="H23" i="3" s="1"/>
  <c r="G23" i="3" s="1"/>
  <c r="E22" i="3"/>
  <c r="H22" i="3" s="1"/>
  <c r="F22" i="3" s="1"/>
  <c r="E21" i="3"/>
  <c r="E20" i="3"/>
  <c r="H20" i="3" s="1"/>
  <c r="F20" i="3" s="1"/>
  <c r="E19" i="3"/>
  <c r="E18" i="3"/>
  <c r="H18" i="3" s="1"/>
  <c r="F18" i="3" s="1"/>
  <c r="E17" i="3"/>
  <c r="H17" i="3" s="1"/>
  <c r="F17" i="3" s="1"/>
  <c r="E16" i="3"/>
  <c r="H16" i="3" s="1"/>
  <c r="E15" i="3"/>
  <c r="H15" i="3" s="1"/>
  <c r="F15" i="3" s="1"/>
  <c r="E14" i="3"/>
  <c r="H14" i="3" s="1"/>
  <c r="F14" i="3" s="1"/>
  <c r="E13" i="3"/>
  <c r="H13" i="3" s="1"/>
  <c r="F13" i="3" s="1"/>
  <c r="E12" i="3"/>
  <c r="H12" i="3" s="1"/>
  <c r="F12" i="3" s="1"/>
  <c r="E11" i="3"/>
  <c r="H11" i="3" s="1"/>
  <c r="F11" i="3" s="1"/>
  <c r="E10" i="3"/>
  <c r="H10" i="3" s="1"/>
  <c r="F10" i="3" s="1"/>
  <c r="E9" i="3"/>
  <c r="H9" i="3" s="1"/>
  <c r="F9" i="3" s="1"/>
  <c r="E7" i="3"/>
  <c r="H7" i="3" s="1"/>
  <c r="F7" i="3" s="1"/>
  <c r="E6" i="3"/>
  <c r="H6" i="3" s="1"/>
  <c r="F6" i="3" s="1"/>
  <c r="G4" i="3" l="1"/>
  <c r="F4" i="3"/>
  <c r="H4" i="3"/>
  <c r="G35" i="3"/>
  <c r="G45" i="3" s="1"/>
  <c r="H35" i="3"/>
  <c r="H45" i="3" s="1"/>
</calcChain>
</file>

<file path=xl/sharedStrings.xml><?xml version="1.0" encoding="utf-8"?>
<sst xmlns="http://schemas.openxmlformats.org/spreadsheetml/2006/main" count="82" uniqueCount="57">
  <si>
    <t xml:space="preserve">Qty </t>
  </si>
  <si>
    <t>Units</t>
  </si>
  <si>
    <t>Unit Cost</t>
  </si>
  <si>
    <t>Total</t>
  </si>
  <si>
    <t>CY</t>
  </si>
  <si>
    <t>Contract Total</t>
  </si>
  <si>
    <t xml:space="preserve"> </t>
  </si>
  <si>
    <t>HR</t>
  </si>
  <si>
    <t>Subtotal</t>
  </si>
  <si>
    <t>Bid Item #</t>
  </si>
  <si>
    <t>Watershed Conservationist</t>
  </si>
  <si>
    <t>Union County Indirect Rate applied only to Item 2</t>
  </si>
  <si>
    <t xml:space="preserve">1992-026-01 - Grande Ronde Model Watershed
Funding Proposal
Buffalo Flats Little Creek Restoration Construction
October 15, 2024
</t>
  </si>
  <si>
    <t xml:space="preserve">Union County Salaries, Wages and Benefits </t>
  </si>
  <si>
    <t>Construction</t>
  </si>
  <si>
    <t>GRMW/BPA</t>
  </si>
  <si>
    <t>Cost Share</t>
  </si>
  <si>
    <t>2a</t>
  </si>
  <si>
    <t>2b</t>
  </si>
  <si>
    <t>Mobilization</t>
  </si>
  <si>
    <t>Environmental Controls</t>
  </si>
  <si>
    <t>DEQ 1200-C Permit</t>
  </si>
  <si>
    <t>Temporary Access, Haul Roads and Staging</t>
  </si>
  <si>
    <t>Dewatering and water management</t>
  </si>
  <si>
    <t>Construction Surveying</t>
  </si>
  <si>
    <t>Channel Excavation and Haul</t>
  </si>
  <si>
    <t>Channel Finish Grading</t>
  </si>
  <si>
    <t>Fill Placement and Stockpile</t>
  </si>
  <si>
    <t>Decomission acces roads, Site Cleanup and repair</t>
  </si>
  <si>
    <t>Construct Riffles</t>
  </si>
  <si>
    <t>Install Headgate</t>
  </si>
  <si>
    <t>Remove existing bridge</t>
  </si>
  <si>
    <t>Install Large Wood - Channel Spanning Structure</t>
  </si>
  <si>
    <t>Install Large Wood - Habitat Wood</t>
  </si>
  <si>
    <t>Install Large Wood - Flow Splitting Structure</t>
  </si>
  <si>
    <t>Sod salvage, store, maintain and transplant</t>
  </si>
  <si>
    <t>Willow Trench</t>
  </si>
  <si>
    <t xml:space="preserve">Flood Fence </t>
  </si>
  <si>
    <t>Planting - Woody, Riparian and Transitional</t>
  </si>
  <si>
    <t>Planting - Woody, Upland</t>
  </si>
  <si>
    <t>Apply Seed and Mulch</t>
  </si>
  <si>
    <t>Medium Trackhoe (Weight greater than 20 tons)</t>
  </si>
  <si>
    <t>Small Trackhoe (Weight between 6 and 20 tons)</t>
  </si>
  <si>
    <t>Mini-excavator (Weight 6 tons or less)</t>
  </si>
  <si>
    <t>Off-road Dump Truck (CAT 735 or similar)</t>
  </si>
  <si>
    <t>Dozer (CAT D6 or similar)</t>
  </si>
  <si>
    <t>Weed Treatment (handpulling crew)</t>
  </si>
  <si>
    <t>LS</t>
  </si>
  <si>
    <t>LF</t>
  </si>
  <si>
    <t>Each</t>
  </si>
  <si>
    <t>SY</t>
  </si>
  <si>
    <t>AC</t>
  </si>
  <si>
    <t>Day</t>
  </si>
  <si>
    <t>District Manager</t>
  </si>
  <si>
    <t>Senior Project Manager</t>
  </si>
  <si>
    <t>Travel</t>
  </si>
  <si>
    <t>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</si>
</sst>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\ ;\(&quot;$&quot;#,##0\)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0" applyNumberFormat="1"/>
    <xf numFmtId="6" fontId="2" fillId="0" borderId="0" xfId="1" applyNumberFormat="1" applyFont="1" applyBorder="1"/>
    <xf numFmtId="164" fontId="2" fillId="0" borderId="0" xfId="1" applyNumberFormat="1" applyFont="1" applyBorder="1"/>
    <xf numFmtId="44" fontId="2" fillId="0" borderId="0" xfId="1" applyFont="1" applyBorder="1"/>
    <xf numFmtId="4" fontId="0" fillId="0" borderId="0" xfId="0" applyNumberFormat="1" applyAlignment="1">
      <alignment horizontal="center"/>
    </xf>
    <xf numFmtId="4" fontId="2" fillId="0" borderId="0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1" applyNumberFormat="1" applyFont="1" applyBorder="1" applyAlignment="1">
      <alignment horizontal="center"/>
    </xf>
    <xf numFmtId="6" fontId="2" fillId="0" borderId="0" xfId="1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/>
    <xf numFmtId="44" fontId="5" fillId="2" borderId="0" xfId="1" applyFont="1" applyFill="1"/>
    <xf numFmtId="44" fontId="5" fillId="0" borderId="0" xfId="1" applyFont="1"/>
    <xf numFmtId="164" fontId="5" fillId="2" borderId="0" xfId="1" applyNumberFormat="1" applyFont="1" applyFill="1"/>
    <xf numFmtId="164" fontId="5" fillId="0" borderId="0" xfId="1" applyNumberFormat="1" applyFont="1"/>
    <xf numFmtId="164" fontId="4" fillId="0" borderId="0" xfId="1" applyNumberFormat="1" applyFont="1" applyBorder="1"/>
    <xf numFmtId="0" fontId="0" fillId="0" borderId="1" xfId="0" applyBorder="1" applyAlignment="1">
      <alignment horizontal="center"/>
    </xf>
    <xf numFmtId="166" fontId="0" fillId="0" borderId="0" xfId="0" applyNumberFormat="1"/>
    <xf numFmtId="5" fontId="4" fillId="0" borderId="0" xfId="1" applyNumberFormat="1" applyFont="1" applyBorder="1"/>
    <xf numFmtId="5" fontId="5" fillId="2" borderId="0" xfId="1" applyNumberFormat="1" applyFont="1" applyFill="1" applyBorder="1"/>
    <xf numFmtId="0" fontId="0" fillId="0" borderId="0" xfId="0" applyAlignment="1">
      <alignment horizontal="center" vertical="center"/>
    </xf>
    <xf numFmtId="44" fontId="0" fillId="0" borderId="0" xfId="1" applyFont="1" applyBorder="1" applyAlignment="1">
      <alignment horizontal="center"/>
    </xf>
    <xf numFmtId="5" fontId="4" fillId="0" borderId="0" xfId="1" applyNumberFormat="1" applyFont="1" applyFill="1" applyBorder="1"/>
    <xf numFmtId="0" fontId="3" fillId="0" borderId="0" xfId="0" applyFont="1" applyAlignment="1">
      <alignment wrapText="1"/>
    </xf>
    <xf numFmtId="10" fontId="5" fillId="2" borderId="0" xfId="0" applyNumberFormat="1" applyFont="1" applyFill="1"/>
    <xf numFmtId="0" fontId="0" fillId="0" borderId="0" xfId="0" applyAlignment="1">
      <alignment horizontal="right"/>
    </xf>
    <xf numFmtId="1" fontId="1" fillId="0" borderId="0" xfId="3" applyNumberFormat="1" applyFill="1"/>
    <xf numFmtId="0" fontId="1" fillId="0" borderId="0" xfId="3" applyFill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5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20% - Accent3" xfId="3" builtinId="38"/>
    <cellStyle name="Currency" xfId="1" builtinId="4"/>
    <cellStyle name="Currency0" xfId="2" xr:uid="{2F1B663D-72D5-4529-B00B-F907A290FE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8DC0-8EDA-4CF6-B692-875F60971294}">
  <dimension ref="A1:R51"/>
  <sheetViews>
    <sheetView tabSelected="1" topLeftCell="A4" zoomScaleNormal="100" zoomScaleSheetLayoutView="100" workbookViewId="0">
      <selection activeCell="J10" sqref="J10"/>
    </sheetView>
  </sheetViews>
  <sheetFormatPr defaultRowHeight="14.4" x14ac:dyDescent="0.3"/>
  <cols>
    <col min="1" max="1" width="9" style="7" customWidth="1"/>
    <col min="2" max="2" width="45.5546875" customWidth="1"/>
    <col min="5" max="7" width="13.5546875" customWidth="1"/>
    <col min="8" max="8" width="15.6640625" customWidth="1"/>
    <col min="10" max="10" width="13.6640625" customWidth="1"/>
    <col min="11" max="11" width="13.6640625" style="15" customWidth="1"/>
    <col min="12" max="12" width="13.6640625" style="7" customWidth="1"/>
    <col min="13" max="13" width="13.6640625" style="13" customWidth="1"/>
    <col min="14" max="18" width="13.6640625" customWidth="1"/>
  </cols>
  <sheetData>
    <row r="1" spans="1:18" ht="87" customHeight="1" x14ac:dyDescent="0.3">
      <c r="A1" s="42" t="s">
        <v>12</v>
      </c>
      <c r="B1" s="42"/>
      <c r="C1" s="42"/>
      <c r="D1" s="42"/>
      <c r="E1" s="42"/>
      <c r="F1" s="42"/>
      <c r="G1" s="42"/>
      <c r="H1" s="42"/>
    </row>
    <row r="2" spans="1:18" ht="8.25" customHeight="1" x14ac:dyDescent="0.3">
      <c r="A2" s="32"/>
      <c r="B2" s="32"/>
      <c r="C2" s="32"/>
      <c r="D2" s="32"/>
      <c r="E2" s="32"/>
      <c r="F2" s="32"/>
      <c r="G2" s="32"/>
      <c r="H2" s="32"/>
    </row>
    <row r="3" spans="1:18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15</v>
      </c>
      <c r="G3" s="3" t="s">
        <v>16</v>
      </c>
      <c r="H3" s="4" t="s">
        <v>3</v>
      </c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3">
      <c r="A4" s="5">
        <v>1</v>
      </c>
      <c r="B4" s="6" t="s">
        <v>14</v>
      </c>
      <c r="C4" s="6"/>
      <c r="D4" s="6"/>
      <c r="E4" s="6"/>
      <c r="F4" s="39">
        <f>SUM(F6:F33)</f>
        <v>1683257.9</v>
      </c>
      <c r="G4" s="39">
        <f>SUM(G6:G33)</f>
        <v>380385</v>
      </c>
      <c r="H4" s="28">
        <f>SUM(H6:H33)</f>
        <v>2063642.9</v>
      </c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3">
      <c r="A5" s="5" t="s">
        <v>9</v>
      </c>
      <c r="B5" s="6"/>
      <c r="C5" s="6"/>
      <c r="D5" s="6"/>
      <c r="E5" s="6"/>
      <c r="F5" s="6"/>
      <c r="G5" s="6"/>
      <c r="H5" s="28"/>
      <c r="I5" s="7"/>
      <c r="J5" s="7"/>
      <c r="K5" s="7"/>
      <c r="M5" s="7"/>
      <c r="N5" s="7"/>
      <c r="O5" s="7"/>
      <c r="P5" s="7"/>
      <c r="Q5" s="7"/>
      <c r="R5" s="7"/>
    </row>
    <row r="6" spans="1:18" x14ac:dyDescent="0.3">
      <c r="A6">
        <v>1</v>
      </c>
      <c r="B6" t="s">
        <v>19</v>
      </c>
      <c r="C6" s="35">
        <v>1</v>
      </c>
      <c r="D6" s="37" t="s">
        <v>47</v>
      </c>
      <c r="E6" s="38">
        <f>128900*1.15</f>
        <v>148235</v>
      </c>
      <c r="F6" s="26">
        <f>H6</f>
        <v>148235</v>
      </c>
      <c r="G6" s="26"/>
      <c r="H6" s="27">
        <f>C6*E6</f>
        <v>148235</v>
      </c>
      <c r="K6"/>
      <c r="L6"/>
      <c r="M6"/>
    </row>
    <row r="7" spans="1:18" x14ac:dyDescent="0.3">
      <c r="A7" s="34" t="s">
        <v>17</v>
      </c>
      <c r="B7" t="s">
        <v>20</v>
      </c>
      <c r="C7" s="36">
        <v>1</v>
      </c>
      <c r="D7" s="37" t="s">
        <v>47</v>
      </c>
      <c r="E7" s="38">
        <f>43000*1.15</f>
        <v>49449.999999999993</v>
      </c>
      <c r="F7" s="26">
        <f t="shared" ref="F7:F32" si="0">H7</f>
        <v>49449.999999999993</v>
      </c>
      <c r="G7" s="26"/>
      <c r="H7" s="27">
        <f t="shared" ref="H7:H33" si="1">C7*E7</f>
        <v>49449.999999999993</v>
      </c>
      <c r="K7"/>
      <c r="L7"/>
      <c r="M7"/>
    </row>
    <row r="8" spans="1:18" x14ac:dyDescent="0.3">
      <c r="A8" s="34" t="s">
        <v>18</v>
      </c>
      <c r="B8" t="s">
        <v>21</v>
      </c>
      <c r="C8" s="36">
        <v>1</v>
      </c>
      <c r="D8" s="37" t="s">
        <v>47</v>
      </c>
      <c r="E8" s="38">
        <v>8000</v>
      </c>
      <c r="F8" s="26">
        <f t="shared" si="0"/>
        <v>8000</v>
      </c>
      <c r="G8" s="26"/>
      <c r="H8" s="27">
        <f t="shared" si="1"/>
        <v>8000</v>
      </c>
      <c r="K8"/>
      <c r="L8"/>
      <c r="M8"/>
    </row>
    <row r="9" spans="1:18" x14ac:dyDescent="0.3">
      <c r="A9">
        <v>3</v>
      </c>
      <c r="B9" t="s">
        <v>22</v>
      </c>
      <c r="C9" s="36">
        <v>1</v>
      </c>
      <c r="D9" s="37" t="s">
        <v>47</v>
      </c>
      <c r="E9" s="38">
        <f>28600*1.15</f>
        <v>32890</v>
      </c>
      <c r="F9" s="26">
        <f t="shared" si="0"/>
        <v>32890</v>
      </c>
      <c r="G9" s="26"/>
      <c r="H9" s="27">
        <f t="shared" si="1"/>
        <v>32890</v>
      </c>
      <c r="K9"/>
      <c r="L9"/>
      <c r="M9"/>
    </row>
    <row r="10" spans="1:18" x14ac:dyDescent="0.3">
      <c r="A10">
        <v>4</v>
      </c>
      <c r="B10" t="s">
        <v>23</v>
      </c>
      <c r="C10" s="36">
        <v>1</v>
      </c>
      <c r="D10" s="37" t="s">
        <v>47</v>
      </c>
      <c r="E10" s="38">
        <f>57300*1.15</f>
        <v>65895</v>
      </c>
      <c r="F10" s="26">
        <f t="shared" si="0"/>
        <v>65895</v>
      </c>
      <c r="G10" s="26"/>
      <c r="H10" s="27">
        <f t="shared" si="1"/>
        <v>65895</v>
      </c>
      <c r="K10"/>
      <c r="L10"/>
      <c r="M10"/>
    </row>
    <row r="11" spans="1:18" x14ac:dyDescent="0.3">
      <c r="A11">
        <v>5</v>
      </c>
      <c r="B11" t="s">
        <v>24</v>
      </c>
      <c r="C11" s="36">
        <v>1</v>
      </c>
      <c r="D11" s="37" t="s">
        <v>47</v>
      </c>
      <c r="E11" s="38">
        <f>25000*1.15</f>
        <v>28749.999999999996</v>
      </c>
      <c r="F11" s="26">
        <f t="shared" si="0"/>
        <v>28749.999999999996</v>
      </c>
      <c r="G11" s="26"/>
      <c r="H11" s="27">
        <f t="shared" si="1"/>
        <v>28749.999999999996</v>
      </c>
      <c r="K11"/>
      <c r="L11"/>
      <c r="M11"/>
    </row>
    <row r="12" spans="1:18" x14ac:dyDescent="0.3">
      <c r="A12">
        <v>6</v>
      </c>
      <c r="B12" t="s">
        <v>25</v>
      </c>
      <c r="C12" s="36">
        <v>35740</v>
      </c>
      <c r="D12" s="37" t="s">
        <v>4</v>
      </c>
      <c r="E12" s="38">
        <f>15*1.15</f>
        <v>17.25</v>
      </c>
      <c r="F12" s="26">
        <f t="shared" si="0"/>
        <v>616515</v>
      </c>
      <c r="G12" s="26"/>
      <c r="H12" s="27">
        <f t="shared" si="1"/>
        <v>616515</v>
      </c>
      <c r="K12"/>
      <c r="L12"/>
      <c r="M12"/>
    </row>
    <row r="13" spans="1:18" x14ac:dyDescent="0.3">
      <c r="A13">
        <v>7</v>
      </c>
      <c r="B13" t="s">
        <v>26</v>
      </c>
      <c r="C13" s="36">
        <v>6500</v>
      </c>
      <c r="D13" s="37" t="s">
        <v>48</v>
      </c>
      <c r="E13" s="38">
        <f>5*1.15</f>
        <v>5.75</v>
      </c>
      <c r="F13" s="26">
        <f t="shared" si="0"/>
        <v>37375</v>
      </c>
      <c r="G13" s="26"/>
      <c r="H13" s="27">
        <f t="shared" si="1"/>
        <v>37375</v>
      </c>
      <c r="K13"/>
      <c r="L13"/>
      <c r="M13"/>
    </row>
    <row r="14" spans="1:18" x14ac:dyDescent="0.3">
      <c r="A14">
        <v>8</v>
      </c>
      <c r="B14" t="s">
        <v>27</v>
      </c>
      <c r="C14" s="36">
        <v>35740</v>
      </c>
      <c r="D14" s="37" t="s">
        <v>4</v>
      </c>
      <c r="E14" s="38">
        <f>7*1.15</f>
        <v>8.0499999999999989</v>
      </c>
      <c r="F14" s="26">
        <f t="shared" si="0"/>
        <v>287706.99999999994</v>
      </c>
      <c r="G14" s="26"/>
      <c r="H14" s="27">
        <f t="shared" si="1"/>
        <v>287706.99999999994</v>
      </c>
      <c r="K14"/>
      <c r="L14"/>
      <c r="M14"/>
    </row>
    <row r="15" spans="1:18" x14ac:dyDescent="0.3">
      <c r="A15">
        <v>9</v>
      </c>
      <c r="B15" t="s">
        <v>28</v>
      </c>
      <c r="C15" s="36">
        <v>1</v>
      </c>
      <c r="D15" s="37" t="s">
        <v>47</v>
      </c>
      <c r="E15" s="38">
        <f>10000*1.15</f>
        <v>11500</v>
      </c>
      <c r="F15" s="26">
        <f t="shared" si="0"/>
        <v>11500</v>
      </c>
      <c r="G15" s="26"/>
      <c r="H15" s="27">
        <f t="shared" si="1"/>
        <v>11500</v>
      </c>
      <c r="K15"/>
      <c r="L15"/>
      <c r="M15"/>
    </row>
    <row r="16" spans="1:18" x14ac:dyDescent="0.3">
      <c r="A16">
        <v>10</v>
      </c>
      <c r="B16" t="s">
        <v>29</v>
      </c>
      <c r="C16" s="36">
        <v>215</v>
      </c>
      <c r="D16" s="37" t="s">
        <v>4</v>
      </c>
      <c r="E16" s="38">
        <f>30*1.15</f>
        <v>34.5</v>
      </c>
      <c r="F16" s="26">
        <f t="shared" si="0"/>
        <v>7417.5</v>
      </c>
      <c r="G16" s="26"/>
      <c r="H16" s="27">
        <f t="shared" si="1"/>
        <v>7417.5</v>
      </c>
      <c r="K16"/>
      <c r="L16"/>
      <c r="M16"/>
    </row>
    <row r="17" spans="1:13" x14ac:dyDescent="0.3">
      <c r="A17">
        <v>11</v>
      </c>
      <c r="B17" t="s">
        <v>30</v>
      </c>
      <c r="C17" s="36">
        <v>1</v>
      </c>
      <c r="D17" s="37" t="s">
        <v>47</v>
      </c>
      <c r="E17" s="38">
        <f>4000*1.15</f>
        <v>4600</v>
      </c>
      <c r="F17" s="26">
        <f t="shared" si="0"/>
        <v>4600</v>
      </c>
      <c r="G17" s="26"/>
      <c r="H17" s="27">
        <f t="shared" si="1"/>
        <v>4600</v>
      </c>
      <c r="K17"/>
      <c r="L17"/>
      <c r="M17"/>
    </row>
    <row r="18" spans="1:13" x14ac:dyDescent="0.3">
      <c r="A18">
        <v>12</v>
      </c>
      <c r="B18" t="s">
        <v>31</v>
      </c>
      <c r="C18" s="36">
        <v>1</v>
      </c>
      <c r="D18" s="37" t="s">
        <v>47</v>
      </c>
      <c r="E18" s="38">
        <f>5000*1.15</f>
        <v>5750</v>
      </c>
      <c r="F18" s="26">
        <f t="shared" si="0"/>
        <v>5750</v>
      </c>
      <c r="G18" s="26"/>
      <c r="H18" s="27">
        <f t="shared" si="1"/>
        <v>5750</v>
      </c>
      <c r="K18"/>
      <c r="L18"/>
      <c r="M18"/>
    </row>
    <row r="19" spans="1:13" x14ac:dyDescent="0.3">
      <c r="A19">
        <v>13</v>
      </c>
      <c r="B19" t="s">
        <v>32</v>
      </c>
      <c r="C19" s="36">
        <v>20</v>
      </c>
      <c r="D19" s="37" t="s">
        <v>49</v>
      </c>
      <c r="E19" s="38">
        <f>3500*1.15</f>
        <v>4024.9999999999995</v>
      </c>
      <c r="F19" s="26">
        <f t="shared" si="0"/>
        <v>80499.999999999985</v>
      </c>
      <c r="G19" s="26"/>
      <c r="H19" s="27">
        <f t="shared" si="1"/>
        <v>80499.999999999985</v>
      </c>
      <c r="K19"/>
      <c r="L19"/>
      <c r="M19"/>
    </row>
    <row r="20" spans="1:13" x14ac:dyDescent="0.3">
      <c r="A20">
        <v>14</v>
      </c>
      <c r="B20" t="s">
        <v>33</v>
      </c>
      <c r="C20" s="36">
        <v>97</v>
      </c>
      <c r="D20" s="37" t="s">
        <v>49</v>
      </c>
      <c r="E20" s="38">
        <f>900*1.15</f>
        <v>1035</v>
      </c>
      <c r="F20" s="26">
        <f t="shared" si="0"/>
        <v>100395</v>
      </c>
      <c r="G20" s="26"/>
      <c r="H20" s="27">
        <f t="shared" si="1"/>
        <v>100395</v>
      </c>
      <c r="K20"/>
      <c r="L20"/>
      <c r="M20"/>
    </row>
    <row r="21" spans="1:13" x14ac:dyDescent="0.3">
      <c r="A21">
        <v>15</v>
      </c>
      <c r="B21" t="s">
        <v>34</v>
      </c>
      <c r="C21" s="36">
        <v>17</v>
      </c>
      <c r="D21" s="37" t="s">
        <v>49</v>
      </c>
      <c r="E21" s="38">
        <f>1200*1.15</f>
        <v>1380</v>
      </c>
      <c r="F21" s="26">
        <f t="shared" si="0"/>
        <v>23460</v>
      </c>
      <c r="G21" s="26"/>
      <c r="H21" s="27">
        <f t="shared" si="1"/>
        <v>23460</v>
      </c>
      <c r="K21"/>
      <c r="L21"/>
      <c r="M21"/>
    </row>
    <row r="22" spans="1:13" x14ac:dyDescent="0.3">
      <c r="A22">
        <v>16</v>
      </c>
      <c r="B22" t="s">
        <v>35</v>
      </c>
      <c r="C22" s="36">
        <v>33472</v>
      </c>
      <c r="D22" s="37" t="s">
        <v>50</v>
      </c>
      <c r="E22" s="38">
        <f>3*1.15</f>
        <v>3.4499999999999997</v>
      </c>
      <c r="F22" s="26">
        <f t="shared" si="0"/>
        <v>115478.39999999999</v>
      </c>
      <c r="G22" s="26"/>
      <c r="H22" s="27">
        <f t="shared" si="1"/>
        <v>115478.39999999999</v>
      </c>
      <c r="K22"/>
      <c r="L22"/>
      <c r="M22"/>
    </row>
    <row r="23" spans="1:13" x14ac:dyDescent="0.3">
      <c r="A23">
        <v>17</v>
      </c>
      <c r="B23" t="s">
        <v>36</v>
      </c>
      <c r="C23" s="36">
        <v>6680</v>
      </c>
      <c r="D23" s="37" t="s">
        <v>48</v>
      </c>
      <c r="E23" s="38">
        <f>10*1.15</f>
        <v>11.5</v>
      </c>
      <c r="F23" s="26"/>
      <c r="G23" s="26">
        <f>H23</f>
        <v>76820</v>
      </c>
      <c r="H23" s="27">
        <f t="shared" si="1"/>
        <v>76820</v>
      </c>
      <c r="K23"/>
      <c r="L23"/>
      <c r="M23"/>
    </row>
    <row r="24" spans="1:13" x14ac:dyDescent="0.3">
      <c r="A24">
        <v>18</v>
      </c>
      <c r="B24" t="s">
        <v>37</v>
      </c>
      <c r="C24" s="36">
        <v>1060</v>
      </c>
      <c r="D24" s="37" t="s">
        <v>48</v>
      </c>
      <c r="E24" s="38">
        <f>10*1.15</f>
        <v>11.5</v>
      </c>
      <c r="F24" s="26"/>
      <c r="G24" s="26">
        <f t="shared" ref="G24:G27" si="2">H24</f>
        <v>12190</v>
      </c>
      <c r="H24" s="27">
        <f t="shared" si="1"/>
        <v>12190</v>
      </c>
      <c r="K24"/>
      <c r="L24"/>
      <c r="M24"/>
    </row>
    <row r="25" spans="1:13" x14ac:dyDescent="0.3">
      <c r="A25">
        <v>19</v>
      </c>
      <c r="B25" t="s">
        <v>38</v>
      </c>
      <c r="C25" s="36">
        <v>17</v>
      </c>
      <c r="D25" s="37" t="s">
        <v>51</v>
      </c>
      <c r="E25" s="38">
        <f>4000*1.15</f>
        <v>4600</v>
      </c>
      <c r="F25" s="26"/>
      <c r="G25" s="26">
        <f t="shared" si="2"/>
        <v>78200</v>
      </c>
      <c r="H25" s="27">
        <f t="shared" si="1"/>
        <v>78200</v>
      </c>
      <c r="K25"/>
      <c r="L25"/>
      <c r="M25"/>
    </row>
    <row r="26" spans="1:13" x14ac:dyDescent="0.3">
      <c r="A26">
        <v>20</v>
      </c>
      <c r="B26" t="s">
        <v>39</v>
      </c>
      <c r="C26" s="36">
        <v>29</v>
      </c>
      <c r="D26" s="37" t="s">
        <v>51</v>
      </c>
      <c r="E26" s="38">
        <f>2500*1.15</f>
        <v>2875</v>
      </c>
      <c r="F26" s="26"/>
      <c r="G26" s="26">
        <f t="shared" si="2"/>
        <v>83375</v>
      </c>
      <c r="H26" s="27">
        <f t="shared" si="1"/>
        <v>83375</v>
      </c>
      <c r="K26"/>
      <c r="L26"/>
      <c r="M26"/>
    </row>
    <row r="27" spans="1:13" x14ac:dyDescent="0.3">
      <c r="A27">
        <v>21</v>
      </c>
      <c r="B27" t="s">
        <v>40</v>
      </c>
      <c r="C27" s="36">
        <v>46</v>
      </c>
      <c r="D27" s="37" t="s">
        <v>51</v>
      </c>
      <c r="E27" s="38">
        <f>2000*1.15</f>
        <v>2300</v>
      </c>
      <c r="F27" s="26"/>
      <c r="G27" s="26">
        <f t="shared" si="2"/>
        <v>105800</v>
      </c>
      <c r="H27" s="27">
        <f t="shared" si="1"/>
        <v>105800</v>
      </c>
      <c r="K27"/>
      <c r="L27"/>
      <c r="M27"/>
    </row>
    <row r="28" spans="1:13" x14ac:dyDescent="0.3">
      <c r="A28">
        <v>22</v>
      </c>
      <c r="B28" t="s">
        <v>41</v>
      </c>
      <c r="C28" s="36">
        <v>40</v>
      </c>
      <c r="D28" s="37" t="s">
        <v>7</v>
      </c>
      <c r="E28" s="38">
        <f>250*1.15</f>
        <v>287.5</v>
      </c>
      <c r="F28" s="26">
        <f t="shared" si="0"/>
        <v>11500</v>
      </c>
      <c r="G28" s="26"/>
      <c r="H28" s="27">
        <f t="shared" si="1"/>
        <v>11500</v>
      </c>
      <c r="K28"/>
      <c r="L28"/>
      <c r="M28"/>
    </row>
    <row r="29" spans="1:13" x14ac:dyDescent="0.3">
      <c r="A29">
        <v>23</v>
      </c>
      <c r="B29" t="s">
        <v>42</v>
      </c>
      <c r="C29" s="36">
        <v>80</v>
      </c>
      <c r="D29" s="37" t="s">
        <v>7</v>
      </c>
      <c r="E29" s="38">
        <f>200*1.15</f>
        <v>229.99999999999997</v>
      </c>
      <c r="F29" s="26">
        <f t="shared" si="0"/>
        <v>18399.999999999996</v>
      </c>
      <c r="G29" s="26"/>
      <c r="H29" s="27">
        <f t="shared" si="1"/>
        <v>18399.999999999996</v>
      </c>
      <c r="K29"/>
      <c r="L29"/>
      <c r="M29"/>
    </row>
    <row r="30" spans="1:13" x14ac:dyDescent="0.3">
      <c r="A30">
        <v>24</v>
      </c>
      <c r="B30" t="s">
        <v>43</v>
      </c>
      <c r="C30" s="36">
        <v>40</v>
      </c>
      <c r="D30" s="37" t="s">
        <v>7</v>
      </c>
      <c r="E30" s="38">
        <f>190*1.15</f>
        <v>218.49999999999997</v>
      </c>
      <c r="F30" s="26">
        <f t="shared" si="0"/>
        <v>8739.9999999999982</v>
      </c>
      <c r="G30" s="26"/>
      <c r="H30" s="27">
        <f t="shared" si="1"/>
        <v>8739.9999999999982</v>
      </c>
      <c r="K30"/>
      <c r="L30"/>
      <c r="M30"/>
    </row>
    <row r="31" spans="1:13" x14ac:dyDescent="0.3">
      <c r="A31">
        <v>25</v>
      </c>
      <c r="B31" t="s">
        <v>44</v>
      </c>
      <c r="C31" s="36">
        <v>40</v>
      </c>
      <c r="D31" s="37" t="s">
        <v>7</v>
      </c>
      <c r="E31" s="38">
        <f>225*1.15</f>
        <v>258.75</v>
      </c>
      <c r="F31" s="26">
        <f t="shared" si="0"/>
        <v>10350</v>
      </c>
      <c r="G31" s="26"/>
      <c r="H31" s="27">
        <f t="shared" si="1"/>
        <v>10350</v>
      </c>
      <c r="K31"/>
      <c r="L31"/>
      <c r="M31"/>
    </row>
    <row r="32" spans="1:13" x14ac:dyDescent="0.3">
      <c r="A32">
        <v>26</v>
      </c>
      <c r="B32" t="s">
        <v>45</v>
      </c>
      <c r="C32" s="36">
        <v>40</v>
      </c>
      <c r="D32" s="37" t="s">
        <v>7</v>
      </c>
      <c r="E32" s="38">
        <f>225*1.15</f>
        <v>258.75</v>
      </c>
      <c r="F32" s="26">
        <f t="shared" si="0"/>
        <v>10350</v>
      </c>
      <c r="G32" s="26"/>
      <c r="H32" s="27">
        <f t="shared" si="1"/>
        <v>10350</v>
      </c>
      <c r="K32"/>
      <c r="L32"/>
      <c r="M32"/>
    </row>
    <row r="33" spans="1:18" x14ac:dyDescent="0.3">
      <c r="A33">
        <v>28</v>
      </c>
      <c r="B33" t="s">
        <v>46</v>
      </c>
      <c r="C33" s="36">
        <v>20</v>
      </c>
      <c r="D33" s="37" t="s">
        <v>52</v>
      </c>
      <c r="E33" s="38">
        <v>1200</v>
      </c>
      <c r="F33" s="26"/>
      <c r="G33" s="26">
        <f>H33</f>
        <v>24000</v>
      </c>
      <c r="H33" s="27">
        <f t="shared" si="1"/>
        <v>24000</v>
      </c>
      <c r="K33"/>
      <c r="L33"/>
      <c r="M33"/>
    </row>
    <row r="34" spans="1:18" x14ac:dyDescent="0.3">
      <c r="C34" s="7"/>
      <c r="D34" s="7"/>
      <c r="E34" s="24"/>
      <c r="F34" s="24"/>
      <c r="G34" s="24"/>
      <c r="H34" s="24"/>
      <c r="K34"/>
      <c r="L34"/>
      <c r="M34"/>
    </row>
    <row r="35" spans="1:18" x14ac:dyDescent="0.3">
      <c r="A35" s="5">
        <v>2</v>
      </c>
      <c r="B35" s="6" t="s">
        <v>13</v>
      </c>
      <c r="C35" s="6"/>
      <c r="D35" s="6"/>
      <c r="E35" s="6"/>
      <c r="F35" s="28">
        <f t="shared" ref="F35:G35" si="3">SUM(F36:F38)</f>
        <v>17052</v>
      </c>
      <c r="G35" s="28">
        <f t="shared" si="3"/>
        <v>30333.4</v>
      </c>
      <c r="H35" s="28">
        <f>SUM(H36:H38)</f>
        <v>47385.4</v>
      </c>
      <c r="K35"/>
      <c r="L35"/>
      <c r="M35"/>
    </row>
    <row r="36" spans="1:18" x14ac:dyDescent="0.3">
      <c r="B36" t="s">
        <v>53</v>
      </c>
      <c r="C36" s="29">
        <v>220</v>
      </c>
      <c r="D36" s="30" t="s">
        <v>7</v>
      </c>
      <c r="E36" s="26">
        <v>60.37</v>
      </c>
      <c r="F36" s="26"/>
      <c r="G36" s="27">
        <f>SUM(C36*E36)</f>
        <v>13281.4</v>
      </c>
      <c r="H36" s="27">
        <f>SUM(C36*E36)</f>
        <v>13281.4</v>
      </c>
      <c r="K36"/>
      <c r="L36"/>
      <c r="M36"/>
    </row>
    <row r="37" spans="1:18" x14ac:dyDescent="0.3">
      <c r="B37" t="s">
        <v>54</v>
      </c>
      <c r="C37" s="29">
        <v>400</v>
      </c>
      <c r="D37" s="30" t="s">
        <v>7</v>
      </c>
      <c r="E37" s="26">
        <v>44.22</v>
      </c>
      <c r="F37" s="26">
        <f>E37*200</f>
        <v>8844</v>
      </c>
      <c r="G37" s="26">
        <f>E37*200</f>
        <v>8844</v>
      </c>
      <c r="H37" s="27">
        <f>SUM(C37*E37)</f>
        <v>17688</v>
      </c>
      <c r="K37"/>
      <c r="L37"/>
      <c r="M37"/>
    </row>
    <row r="38" spans="1:18" x14ac:dyDescent="0.3">
      <c r="A38" s="25"/>
      <c r="B38" t="s">
        <v>10</v>
      </c>
      <c r="C38" s="29">
        <v>400</v>
      </c>
      <c r="D38" s="7" t="s">
        <v>7</v>
      </c>
      <c r="E38" s="26">
        <v>41.04</v>
      </c>
      <c r="F38" s="26">
        <f>E38*200</f>
        <v>8208</v>
      </c>
      <c r="G38" s="26">
        <f>E38*200</f>
        <v>8208</v>
      </c>
      <c r="H38" s="27">
        <f>SUM(C38*E38)</f>
        <v>16416</v>
      </c>
      <c r="K38"/>
      <c r="L38"/>
      <c r="M38"/>
    </row>
    <row r="39" spans="1:18" x14ac:dyDescent="0.3">
      <c r="A39" s="25"/>
      <c r="C39" s="29"/>
      <c r="D39" s="7"/>
      <c r="E39" s="31"/>
      <c r="F39" s="31"/>
      <c r="G39" s="31"/>
      <c r="H39" s="27"/>
      <c r="K39"/>
      <c r="L39"/>
      <c r="M39"/>
    </row>
    <row r="40" spans="1:18" x14ac:dyDescent="0.3">
      <c r="A40" s="5">
        <v>3</v>
      </c>
      <c r="B40" s="6" t="s">
        <v>55</v>
      </c>
      <c r="C40" s="6"/>
      <c r="D40" s="6"/>
      <c r="E40" s="6"/>
      <c r="F40" s="28">
        <f>SUM(F41)</f>
        <v>0</v>
      </c>
      <c r="G40" s="28">
        <f>SUM(G41)</f>
        <v>1340</v>
      </c>
      <c r="H40" s="28">
        <f>SUM(H41)</f>
        <v>1340</v>
      </c>
      <c r="K40"/>
      <c r="L40"/>
      <c r="M40"/>
    </row>
    <row r="41" spans="1:18" x14ac:dyDescent="0.3">
      <c r="B41" t="s">
        <v>55</v>
      </c>
      <c r="C41" s="29">
        <v>2000</v>
      </c>
      <c r="D41" s="30" t="s">
        <v>56</v>
      </c>
      <c r="E41" s="26">
        <v>0.67</v>
      </c>
      <c r="F41" s="26"/>
      <c r="G41" s="27">
        <f>SUM(C41*E41)</f>
        <v>1340</v>
      </c>
      <c r="H41" s="27">
        <f>SUM(C41*E41)</f>
        <v>1340</v>
      </c>
      <c r="K41"/>
      <c r="L41"/>
      <c r="M41"/>
    </row>
    <row r="42" spans="1:18" x14ac:dyDescent="0.3">
      <c r="C42" s="29"/>
      <c r="D42" s="30"/>
      <c r="E42" s="26"/>
      <c r="F42" s="26"/>
      <c r="G42" s="27"/>
      <c r="H42" s="27"/>
      <c r="K42"/>
      <c r="L42"/>
      <c r="M42"/>
    </row>
    <row r="43" spans="1:18" x14ac:dyDescent="0.3">
      <c r="A43" s="5">
        <v>4</v>
      </c>
      <c r="B43" s="6" t="s">
        <v>8</v>
      </c>
      <c r="C43" s="6"/>
      <c r="D43" s="6"/>
      <c r="E43" s="6"/>
      <c r="F43" s="28">
        <f>F4+F35+F40</f>
        <v>1700309.9</v>
      </c>
      <c r="G43" s="28">
        <f>G4+G35+G40</f>
        <v>412058.4</v>
      </c>
      <c r="H43" s="28">
        <f>H4+H35+H40</f>
        <v>2112368.2999999998</v>
      </c>
      <c r="K43"/>
      <c r="L43"/>
      <c r="M43"/>
    </row>
    <row r="44" spans="1:18" x14ac:dyDescent="0.3">
      <c r="A44" s="25"/>
      <c r="B44" t="s">
        <v>6</v>
      </c>
      <c r="C44" s="29"/>
      <c r="D44" s="7"/>
      <c r="E44" s="31"/>
      <c r="F44" s="31"/>
      <c r="G44" s="31"/>
      <c r="H44" s="27" t="s">
        <v>6</v>
      </c>
      <c r="K44"/>
      <c r="L44"/>
      <c r="M44"/>
    </row>
    <row r="45" spans="1:18" x14ac:dyDescent="0.3">
      <c r="A45" s="5">
        <v>5</v>
      </c>
      <c r="B45" s="6" t="s">
        <v>11</v>
      </c>
      <c r="C45" s="33">
        <v>0.32090000000000002</v>
      </c>
      <c r="D45" s="6"/>
      <c r="E45" s="6"/>
      <c r="F45" s="28">
        <f t="shared" ref="F45:G45" si="4">F35*$C$45</f>
        <v>5471.9868000000006</v>
      </c>
      <c r="G45" s="28">
        <f t="shared" si="4"/>
        <v>9733.9880600000015</v>
      </c>
      <c r="H45" s="28">
        <f>H35*$C$45</f>
        <v>15205.974860000002</v>
      </c>
      <c r="K45"/>
      <c r="L45"/>
      <c r="M45"/>
    </row>
    <row r="46" spans="1:18" x14ac:dyDescent="0.3">
      <c r="A46" s="1"/>
      <c r="B46" s="2"/>
      <c r="C46" s="2"/>
      <c r="D46" s="2"/>
      <c r="E46" s="21"/>
      <c r="F46" s="21"/>
      <c r="G46" s="21"/>
      <c r="H46" s="23"/>
      <c r="J46" s="10"/>
      <c r="K46" s="16"/>
      <c r="L46" s="17"/>
      <c r="M46" s="14"/>
      <c r="N46" s="10"/>
      <c r="O46" s="11"/>
      <c r="P46" s="10"/>
      <c r="Q46" s="10"/>
      <c r="R46" s="12"/>
    </row>
    <row r="47" spans="1:18" x14ac:dyDescent="0.3">
      <c r="A47" s="5">
        <v>6</v>
      </c>
      <c r="B47" s="6" t="s">
        <v>5</v>
      </c>
      <c r="C47" s="6"/>
      <c r="D47" s="6"/>
      <c r="E47" s="20"/>
      <c r="F47" s="22">
        <f t="shared" ref="F47:G47" si="5">F43+F45+1</f>
        <v>1705782.8868</v>
      </c>
      <c r="G47" s="22">
        <f t="shared" si="5"/>
        <v>421793.38806000003</v>
      </c>
      <c r="H47" s="22">
        <f>H43+H45+1</f>
        <v>2127575.2748599998</v>
      </c>
      <c r="I47" s="9"/>
      <c r="J47" s="10"/>
      <c r="K47" s="16"/>
      <c r="L47" s="17"/>
      <c r="M47" s="14"/>
      <c r="N47" s="10"/>
      <c r="O47" s="11"/>
      <c r="P47" s="10"/>
      <c r="Q47" s="10"/>
      <c r="R47" s="12"/>
    </row>
    <row r="48" spans="1:18" x14ac:dyDescent="0.3">
      <c r="J48" s="10"/>
      <c r="K48" s="16"/>
      <c r="L48" s="17"/>
      <c r="M48" s="14"/>
      <c r="N48" s="10"/>
      <c r="O48" s="11"/>
      <c r="P48" s="10"/>
      <c r="Q48" s="10"/>
      <c r="R48" s="12"/>
    </row>
    <row r="49" spans="8:18" x14ac:dyDescent="0.3">
      <c r="J49" s="10"/>
      <c r="K49" s="16"/>
      <c r="L49" s="17"/>
      <c r="M49" s="14"/>
      <c r="N49" s="10"/>
      <c r="O49" s="11"/>
      <c r="P49" s="10"/>
      <c r="Q49" s="10"/>
      <c r="R49" s="12"/>
    </row>
    <row r="50" spans="8:18" x14ac:dyDescent="0.3">
      <c r="J50" s="10"/>
      <c r="K50" s="16"/>
      <c r="L50" s="17"/>
      <c r="M50" s="14"/>
      <c r="N50" s="10"/>
      <c r="O50" s="11"/>
      <c r="P50" s="10"/>
      <c r="Q50" s="10"/>
      <c r="R50" s="12"/>
    </row>
    <row r="51" spans="8:18" x14ac:dyDescent="0.3">
      <c r="H51" s="19"/>
      <c r="J51" s="8"/>
      <c r="L51" s="18"/>
      <c r="N51" s="9"/>
      <c r="O51" s="9"/>
      <c r="P51" s="9"/>
      <c r="Q51" s="9"/>
    </row>
  </sheetData>
  <mergeCells count="3">
    <mergeCell ref="I3:R3"/>
    <mergeCell ref="I4:R4"/>
    <mergeCell ref="A1:H1"/>
  </mergeCells>
  <pageMargins left="0.31" right="0.17" top="0.28999999999999998" bottom="0.31" header="0.19" footer="0.17"/>
  <pageSetup orientation="landscape" r:id="rId1"/>
  <colBreaks count="1" manualBreakCount="1">
    <brk id="9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 CCC</vt:lpstr>
      <vt:lpstr>'CAP CCC'!Print_Area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Bliesner</dc:creator>
  <cp:lastModifiedBy>Renee Coxen</cp:lastModifiedBy>
  <cp:lastPrinted>2024-08-07T19:32:44Z</cp:lastPrinted>
  <dcterms:created xsi:type="dcterms:W3CDTF">2024-07-16T20:19:22Z</dcterms:created>
  <dcterms:modified xsi:type="dcterms:W3CDTF">2024-10-15T15:18:52Z</dcterms:modified>
</cp:coreProperties>
</file>